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6590" windowHeight="8025" activeTab="1"/>
  </bookViews>
  <sheets>
    <sheet name="summary page" sheetId="1" r:id="rId1"/>
    <sheet name="bread calc" sheetId="2" r:id="rId2"/>
    <sheet name="graphs" sheetId="3" r:id="rId3"/>
    <sheet name="model" sheetId="4" r:id="rId4"/>
  </sheets>
  <definedNames/>
  <calcPr fullCalcOnLoad="1"/>
</workbook>
</file>

<file path=xl/comments1.xml><?xml version="1.0" encoding="utf-8"?>
<comments xmlns="http://schemas.openxmlformats.org/spreadsheetml/2006/main">
  <authors>
    <author>bwraith</author>
  </authors>
  <commentList>
    <comment ref="A9" authorId="0">
      <text>
        <r>
          <rPr>
            <b/>
            <sz val="8"/>
            <rFont val="Tahoma"/>
            <family val="0"/>
          </rPr>
          <t>bwraith:</t>
        </r>
        <r>
          <rPr>
            <sz val="8"/>
            <rFont val="Tahoma"/>
            <family val="0"/>
          </rPr>
          <t xml:space="preserve">
This is a factor you can set to determine how ripe you want the levain to be in the time estimates. Use 1 for just doubling the volume of the levain,  2.75 for a somewhat overproofed dough equivalent, 6 for fairly ripe levain that may already be collapsing. However, you can learn how your starter ripens and set this factor according to your preferences.</t>
        </r>
      </text>
    </comment>
    <comment ref="A8" authorId="0">
      <text>
        <r>
          <rPr>
            <b/>
            <sz val="8"/>
            <rFont val="Tahoma"/>
            <family val="0"/>
          </rPr>
          <t>bwraith:</t>
        </r>
        <r>
          <rPr>
            <sz val="8"/>
            <rFont val="Tahoma"/>
            <family val="0"/>
          </rPr>
          <t xml:space="preserve">
Adjust this "starter speed factor" so that the doubling time of your levains is correctly predicted. This number is an indication of the overall speed of your starter, and 1.23 worked for my starter using KA bread flour, but yours may be quite different. You can adjust this number up and down for flour composition if you learn from trial and error how to adjust for the speed of fermentation of different flour compositions. For a whole grain starter, such as spelt, the right number might be 1.4 for my starter, i.e. higher than 1.23.</t>
        </r>
      </text>
    </comment>
    <comment ref="A20" authorId="0">
      <text>
        <r>
          <rPr>
            <b/>
            <sz val="8"/>
            <rFont val="Tahoma"/>
            <family val="0"/>
          </rPr>
          <t>bwraith:</t>
        </r>
        <r>
          <rPr>
            <sz val="8"/>
            <rFont val="Tahoma"/>
            <family val="0"/>
          </rPr>
          <t xml:space="preserve">
First set the "starter speed factor" (above) so the doubling time is correct for a test dough.  If the "bulk ferment factor" is set to 1.0, then the model will predict the point at which the fermentation is equivalent to a doubling of volume. However, if you want to set the bulk fermentation time to shape earlier, set the "bulk ferment factor" to less than one, like .75, for example. I think that .75 may be a reasonable number for some of the recipes that say "shape when dough has risen by somewhat less than double".</t>
        </r>
      </text>
    </comment>
    <comment ref="A19" authorId="0">
      <text>
        <r>
          <rPr>
            <b/>
            <sz val="8"/>
            <rFont val="Tahoma"/>
            <family val="0"/>
          </rPr>
          <t>bwraith:</t>
        </r>
        <r>
          <rPr>
            <sz val="8"/>
            <rFont val="Tahoma"/>
            <family val="0"/>
          </rPr>
          <t xml:space="preserve">
After the "starter speed factor" is set to predict doubling times with bulk ferment factor set to 1.0, use test doughs to set the proofing factor so your doughs are proofed as you like. Higher for more proofing, lower for less proofing.</t>
        </r>
      </text>
    </comment>
    <comment ref="A18" authorId="0">
      <text>
        <r>
          <rPr>
            <b/>
            <sz val="8"/>
            <rFont val="Tahoma"/>
            <family val="0"/>
          </rPr>
          <t>bwraith:</t>
        </r>
        <r>
          <rPr>
            <sz val="8"/>
            <rFont val="Tahoma"/>
            <family val="0"/>
          </rPr>
          <t xml:space="preserve">
Set this "starter speed factor" so that the model correctly predicts the doubling time for your test doughs. This should be the same number as in the levain if you are using the same storage starter and same flour, but if the levain has different flour, you can learn by trial and error how to adjust this number for the speed of fermentation of different flour compositions. I use 1.4 with a mix of flours like 85% AP, 10% WW, and 5% whole rye.</t>
        </r>
      </text>
    </comment>
    <comment ref="E23" authorId="0">
      <text>
        <r>
          <rPr>
            <b/>
            <sz val="8"/>
            <rFont val="Tahoma"/>
            <family val="0"/>
          </rPr>
          <t>bwraith:</t>
        </r>
        <r>
          <rPr>
            <sz val="8"/>
            <rFont val="Tahoma"/>
            <family val="0"/>
          </rPr>
          <t xml:space="preserve">
set to 0 for no salt, set to 1 if salt is used. This can be used if you have an autolyse stage where the levain has been mixed but the salt has not yet been added.</t>
        </r>
      </text>
    </comment>
    <comment ref="F23"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 ref="A23" authorId="0">
      <text>
        <r>
          <rPr>
            <b/>
            <sz val="8"/>
            <rFont val="Tahoma"/>
            <family val="0"/>
          </rPr>
          <t>bwraith:</t>
        </r>
        <r>
          <rPr>
            <sz val="8"/>
            <rFont val="Tahoma"/>
            <family val="0"/>
          </rPr>
          <t xml:space="preserve">
If the dough is fermented in stages with different temperatures such as bulk fermentation and final proof, and/or if you want to break up the process based on handling stages, for example, if you want to proof when the dough is at a factor of 75%, you can enter a series of times and temperatures here and see the resulting "fermentation progress factor", a number that indicates the degree of fermentation. If the "starter speed factor" is set to correctly predict a doubling of the levain and dough, then the "average fermentation progress factor" will be 1.0 when the dough has doubled, and about 2.3 when the dough has completed the final proof. You can experiment to find the best progress factors for ending the bulk fermentation and the final proof.</t>
        </r>
      </text>
    </comment>
    <comment ref="A6" authorId="0">
      <text>
        <r>
          <rPr>
            <b/>
            <sz val="8"/>
            <rFont val="Tahoma"/>
            <family val="0"/>
          </rPr>
          <t>bwraith:</t>
        </r>
        <r>
          <rPr>
            <sz val="8"/>
            <rFont val="Tahoma"/>
            <family val="0"/>
          </rPr>
          <t xml:space="preserve">
Levain hydration, i.e. total water as percent of total flour in levain.</t>
        </r>
      </text>
    </comment>
    <comment ref="A5" authorId="0">
      <text>
        <r>
          <rPr>
            <b/>
            <sz val="8"/>
            <rFont val="Tahoma"/>
            <family val="0"/>
          </rPr>
          <t>bwraith:</t>
        </r>
        <r>
          <rPr>
            <sz val="8"/>
            <rFont val="Tahoma"/>
            <family val="0"/>
          </rPr>
          <t xml:space="preserve">
Salt as percentage of total flour in the levain, if there is salt in it.</t>
        </r>
      </text>
    </comment>
    <comment ref="A13" authorId="0">
      <text>
        <r>
          <rPr>
            <b/>
            <sz val="8"/>
            <rFont val="Tahoma"/>
            <family val="0"/>
          </rPr>
          <t>bwraith:</t>
        </r>
        <r>
          <rPr>
            <sz val="8"/>
            <rFont val="Tahoma"/>
            <family val="0"/>
          </rPr>
          <t xml:space="preserve">
Dough inoculation is the percentage of fermented flour as a percentage of the total flour weight in the dough.</t>
        </r>
      </text>
    </comment>
    <comment ref="A15" authorId="0">
      <text>
        <r>
          <rPr>
            <b/>
            <sz val="8"/>
            <rFont val="Tahoma"/>
            <family val="0"/>
          </rPr>
          <t>bwraith:</t>
        </r>
        <r>
          <rPr>
            <sz val="8"/>
            <rFont val="Tahoma"/>
            <family val="0"/>
          </rPr>
          <t xml:space="preserve">
Dough hdyration is the percentage of total water to total flour weight in the dough. This hydration is for a white flour equivalent consistency. If you have a dough with flours that require more water, then you may want to use a lower number than the actual dough hydration to reflect the firmer consistency of the whole grain flour.</t>
        </r>
      </text>
    </comment>
    <comment ref="G7" authorId="0">
      <text>
        <r>
          <rPr>
            <b/>
            <sz val="8"/>
            <rFont val="Tahoma"/>
            <family val="0"/>
          </rPr>
          <t>bwraith:</t>
        </r>
        <r>
          <rPr>
            <sz val="8"/>
            <rFont val="Tahoma"/>
            <family val="0"/>
          </rPr>
          <t xml:space="preserve">
Enter a time in the format 11:35 AM, and you can see what time the levain will be doubled and what time it will be ready.</t>
        </r>
      </text>
    </comment>
    <comment ref="G17" authorId="0">
      <text>
        <r>
          <rPr>
            <b/>
            <sz val="8"/>
            <rFont val="Tahoma"/>
            <family val="0"/>
          </rPr>
          <t>bwraith:</t>
        </r>
        <r>
          <rPr>
            <sz val="8"/>
            <rFont val="Tahoma"/>
            <family val="0"/>
          </rPr>
          <t xml:space="preserve">
Enter the time the dough begins bulk fermentation.</t>
        </r>
      </text>
    </comment>
    <comment ref="A4" authorId="0">
      <text>
        <r>
          <rPr>
            <b/>
            <sz val="8"/>
            <rFont val="Tahoma"/>
            <family val="0"/>
          </rPr>
          <t>bwraith:</t>
        </r>
        <r>
          <rPr>
            <sz val="8"/>
            <rFont val="Tahoma"/>
            <family val="0"/>
          </rPr>
          <t xml:space="preserve">
This is the percentage of fermented flour from the storage starter as a percentage of the total flour in the levain.</t>
        </r>
      </text>
    </comment>
    <comment ref="A14" authorId="0">
      <text>
        <r>
          <rPr>
            <b/>
            <sz val="8"/>
            <rFont val="Tahoma"/>
            <family val="0"/>
          </rPr>
          <t>bwraith:</t>
        </r>
        <r>
          <rPr>
            <sz val="8"/>
            <rFont val="Tahoma"/>
            <family val="0"/>
          </rPr>
          <t xml:space="preserve">
This is the total salt divided by the total flour weight in percentage terms.</t>
        </r>
      </text>
    </comment>
    <comment ref="D18" authorId="0">
      <text>
        <r>
          <rPr>
            <b/>
            <sz val="8"/>
            <rFont val="Tahoma"/>
            <family val="0"/>
          </rPr>
          <t>bwraith:</t>
        </r>
        <r>
          <rPr>
            <sz val="8"/>
            <rFont val="Tahoma"/>
            <family val="0"/>
          </rPr>
          <t xml:space="preserve">
This is the predicted bulk fermentation time to reach the bulk fermentation progress factor set in the "bulk ferment factor" input.</t>
        </r>
      </text>
    </comment>
    <comment ref="D19" authorId="0">
      <text>
        <r>
          <rPr>
            <b/>
            <sz val="8"/>
            <rFont val="Tahoma"/>
            <family val="0"/>
          </rPr>
          <t>bwraith:</t>
        </r>
        <r>
          <rPr>
            <sz val="8"/>
            <rFont val="Tahoma"/>
            <family val="0"/>
          </rPr>
          <t xml:space="preserve">
This is the final proofing time needed for the fermentation to progress to the "proofing factor" input.</t>
        </r>
      </text>
    </comment>
    <comment ref="D20" authorId="0">
      <text>
        <r>
          <rPr>
            <b/>
            <sz val="8"/>
            <rFont val="Tahoma"/>
            <family val="0"/>
          </rPr>
          <t>bwraith:</t>
        </r>
        <r>
          <rPr>
            <sz val="8"/>
            <rFont val="Tahoma"/>
            <family val="0"/>
          </rPr>
          <t xml:space="preserve">
Total time from beginning of bulk fermentation until you start the bake.</t>
        </r>
      </text>
    </comment>
    <comment ref="D17" authorId="0">
      <text>
        <r>
          <rPr>
            <b/>
            <sz val="8"/>
            <rFont val="Tahoma"/>
            <family val="0"/>
          </rPr>
          <t>bwraith:</t>
        </r>
        <r>
          <rPr>
            <sz val="8"/>
            <rFont val="Tahoma"/>
            <family val="0"/>
          </rPr>
          <t xml:space="preserve">
This is the predicted time for the dough to double in volume, if you were to leave it undisturbed after mixing, like a test dough.</t>
        </r>
      </text>
    </comment>
    <comment ref="D13" authorId="0">
      <text>
        <r>
          <rPr>
            <b/>
            <sz val="8"/>
            <rFont val="Tahoma"/>
            <family val="0"/>
          </rPr>
          <t>bwraith:</t>
        </r>
        <r>
          <rPr>
            <sz val="8"/>
            <rFont val="Tahoma"/>
            <family val="0"/>
          </rPr>
          <t xml:space="preserve">
This is the dough inoculation calculated on the "bread calc" page for the recipe entered there. You can use this number for the "inoculation percentage" if you want to analyse the recipe using the rise time predictions on this page.</t>
        </r>
      </text>
    </comment>
    <comment ref="D14" authorId="0">
      <text>
        <r>
          <rPr>
            <b/>
            <sz val="8"/>
            <rFont val="Tahoma"/>
            <family val="0"/>
          </rPr>
          <t>bwraith:</t>
        </r>
        <r>
          <rPr>
            <sz val="8"/>
            <rFont val="Tahoma"/>
            <family val="0"/>
          </rPr>
          <t xml:space="preserve">
This is the salt percentage of total flour weight in the dough calculated from the "bread calc" page for the recipe entered there. You can use this number for the salt input on this page, if you want to calculate rise times for that recipe.</t>
        </r>
      </text>
    </comment>
    <comment ref="D15" authorId="0">
      <text>
        <r>
          <rPr>
            <b/>
            <sz val="8"/>
            <rFont val="Tahoma"/>
            <family val="0"/>
          </rPr>
          <t>bwraith:</t>
        </r>
        <r>
          <rPr>
            <sz val="8"/>
            <rFont val="Tahoma"/>
            <family val="0"/>
          </rPr>
          <t xml:space="preserve">
Overall dough hydration from the "bread calc" recipe. You can enter this number to the left in the hydration input to analyse the rise times of the recipe on the "bread calc" page.</t>
        </r>
      </text>
    </comment>
    <comment ref="D9" authorId="0">
      <text>
        <r>
          <rPr>
            <b/>
            <sz val="8"/>
            <rFont val="Tahoma"/>
            <family val="0"/>
          </rPr>
          <t>bwraith:</t>
        </r>
        <r>
          <rPr>
            <sz val="8"/>
            <rFont val="Tahoma"/>
            <family val="0"/>
          </rPr>
          <t xml:space="preserve">
This is the predicted time for the fermentation of the levain to progress to the "ripeness factor".</t>
        </r>
      </text>
    </comment>
    <comment ref="D8" authorId="0">
      <text>
        <r>
          <rPr>
            <b/>
            <sz val="8"/>
            <rFont val="Tahoma"/>
            <family val="0"/>
          </rPr>
          <t>bwraith:</t>
        </r>
        <r>
          <rPr>
            <sz val="8"/>
            <rFont val="Tahoma"/>
            <family val="0"/>
          </rPr>
          <t xml:space="preserve">
This is the time it would take for the levain to double in volume if left undisturbed after mixing. Mix a test levain and set the "starter speed factor" so that this doubling time is correct for your starter.</t>
        </r>
      </text>
    </comment>
    <comment ref="D6" authorId="0">
      <text>
        <r>
          <rPr>
            <b/>
            <sz val="8"/>
            <rFont val="Tahoma"/>
            <family val="0"/>
          </rPr>
          <t>bwraith:</t>
        </r>
        <r>
          <rPr>
            <sz val="8"/>
            <rFont val="Tahoma"/>
            <family val="0"/>
          </rPr>
          <t xml:space="preserve">
This is the levain hydration used on the "bread calc" page. You can enter it for the "hydration" of the levain on the left to calculate the rise times of the levain in the recipe on the "bread calc" page.</t>
        </r>
      </text>
    </comment>
    <comment ref="D4" authorId="0">
      <text>
        <r>
          <rPr>
            <b/>
            <sz val="8"/>
            <rFont val="Tahoma"/>
            <family val="0"/>
          </rPr>
          <t>bwraith:</t>
        </r>
        <r>
          <rPr>
            <sz val="8"/>
            <rFont val="Tahoma"/>
            <family val="0"/>
          </rPr>
          <t xml:space="preserve">
This is the inoculation of the levain calculated from the "bread calc" page. Enter this number on the left to analyse the rise time of the levain that is specified in the recipe on the "bread calc" page.</t>
        </r>
      </text>
    </comment>
    <comment ref="G23" authorId="0">
      <text>
        <r>
          <rPr>
            <b/>
            <sz val="8"/>
            <rFont val="Tahoma"/>
            <family val="0"/>
          </rPr>
          <t>bwraith:</t>
        </r>
        <r>
          <rPr>
            <sz val="8"/>
            <rFont val="Tahoma"/>
            <family val="0"/>
          </rPr>
          <t xml:space="preserve">
The "lb fermentation progress factor" is specific to the activity and growth of the Lactobacillus only. It is an indication of the cumulative growth of the Lactobacillus in the culture over the various stages. Hard to say how to use this, but I included it as something to look at.</t>
        </r>
      </text>
    </comment>
    <comment ref="H23" authorId="0">
      <text>
        <r>
          <rPr>
            <b/>
            <sz val="8"/>
            <rFont val="Tahoma"/>
            <family val="0"/>
          </rPr>
          <t>bwraith:</t>
        </r>
        <r>
          <rPr>
            <sz val="8"/>
            <rFont val="Tahoma"/>
            <family val="0"/>
          </rPr>
          <t xml:space="preserve">
The "yeast fermentation progress factor" is an indication of the cumulative growth of the yeast population over the various stages. Generally, you will see that the lactobacillus grows faster than the yeast, but at some temperatures, e.g. 85F, the lactobacillus will well outpace the yeast. Hard to say how to use this, but I thought it might be something interesting to look at.</t>
        </r>
      </text>
    </comment>
    <comment ref="F22"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List>
</comments>
</file>

<file path=xl/comments2.xml><?xml version="1.0" encoding="utf-8"?>
<comments xmlns="http://schemas.openxmlformats.org/spreadsheetml/2006/main">
  <authors>
    <author>bwraith</author>
  </authors>
  <commentList>
    <comment ref="A13" authorId="0">
      <text>
        <r>
          <rPr>
            <b/>
            <sz val="8"/>
            <rFont val="Tahoma"/>
            <family val="0"/>
          </rPr>
          <t>bwraith:</t>
        </r>
        <r>
          <rPr>
            <sz val="8"/>
            <rFont val="Tahoma"/>
            <family val="0"/>
          </rPr>
          <t xml:space="preserve">
This number is the percentage of fermented flour from the starters going into the levain. This number can be used on the summary page to calculate a fermentation time for the levain.
</t>
        </r>
      </text>
    </comment>
    <comment ref="A14" authorId="0">
      <text>
        <r>
          <rPr>
            <b/>
            <sz val="8"/>
            <rFont val="Tahoma"/>
            <family val="0"/>
          </rPr>
          <t>bwraith:</t>
        </r>
        <r>
          <rPr>
            <sz val="8"/>
            <rFont val="Tahoma"/>
            <family val="0"/>
          </rPr>
          <t xml:space="preserve">
This is the hydration desired for the levain. The amount of flour and water to add are stated in "Levain Flour" and "Levain Water"</t>
        </r>
      </text>
    </comment>
    <comment ref="A37" authorId="0">
      <text>
        <r>
          <rPr>
            <b/>
            <sz val="8"/>
            <rFont val="Tahoma"/>
            <family val="0"/>
          </rPr>
          <t>bwraith:</t>
        </r>
        <r>
          <rPr>
            <sz val="8"/>
            <rFont val="Tahoma"/>
            <family val="0"/>
          </rPr>
          <t xml:space="preserve">
Enter the total amount of flour in the dough. This is the total flour weight including flours 1-5, main flour, levain flour, and starter flour.</t>
        </r>
      </text>
    </comment>
    <comment ref="A40" authorId="0">
      <text>
        <r>
          <rPr>
            <b/>
            <sz val="8"/>
            <rFont val="Tahoma"/>
            <family val="0"/>
          </rPr>
          <t>bwraith:</t>
        </r>
        <r>
          <rPr>
            <sz val="8"/>
            <rFont val="Tahoma"/>
            <family val="0"/>
          </rPr>
          <t xml:space="preserve">
This is the percentage of fermented flour in the dough as a percentage of total flour weight in the dough. This is the inoculation of the dough which can be used on the summary page to calculate the fermentation and proof times for the dough.</t>
        </r>
      </text>
    </comment>
    <comment ref="A38" authorId="0">
      <text>
        <r>
          <rPr>
            <b/>
            <sz val="8"/>
            <rFont val="Tahoma"/>
            <family val="0"/>
          </rPr>
          <t>bwraith:</t>
        </r>
        <r>
          <rPr>
            <sz val="8"/>
            <rFont val="Tahoma"/>
            <family val="0"/>
          </rPr>
          <t xml:space="preserve">
This is the overall hydration of the dough. It is the sum of all water as a percentage of the total flour weight in the dough.</t>
        </r>
      </text>
    </comment>
    <comment ref="A36" authorId="0">
      <text>
        <r>
          <rPr>
            <b/>
            <sz val="8"/>
            <rFont val="Tahoma"/>
            <family val="0"/>
          </rPr>
          <t>bwraith:</t>
        </r>
        <r>
          <rPr>
            <sz val="8"/>
            <rFont val="Tahoma"/>
            <family val="0"/>
          </rPr>
          <t xml:space="preserve">
This is the percentage of salt as a percentage of total flour weight in the dough.</t>
        </r>
      </text>
    </comment>
    <comment ref="A28" authorId="0">
      <text>
        <r>
          <rPr>
            <b/>
            <sz val="8"/>
            <rFont val="Tahoma"/>
            <family val="0"/>
          </rPr>
          <t>bwraith:</t>
        </r>
        <r>
          <rPr>
            <sz val="8"/>
            <rFont val="Tahoma"/>
            <family val="0"/>
          </rPr>
          <t xml:space="preserve">
The percentage of each of flour 1-5 can be set as a percentage of total flour weight. The main flour will be calculated as the remaining flour so tha the total flour in the dough will be as input below. Change the labels to indicate the type of flour used.</t>
        </r>
      </text>
    </comment>
    <comment ref="A1" authorId="0">
      <text>
        <r>
          <rPr>
            <b/>
            <sz val="8"/>
            <rFont val="Tahoma"/>
            <family val="0"/>
          </rPr>
          <t>bwraith:</t>
        </r>
        <r>
          <rPr>
            <sz val="8"/>
            <rFont val="Tahoma"/>
            <family val="0"/>
          </rPr>
          <t xml:space="preserve">
Change recipe title.</t>
        </r>
      </text>
    </comment>
    <comment ref="A22" authorId="0">
      <text>
        <r>
          <rPr>
            <b/>
            <sz val="8"/>
            <rFont val="Tahoma"/>
            <family val="0"/>
          </rPr>
          <t>bwraith:</t>
        </r>
        <r>
          <rPr>
            <sz val="8"/>
            <rFont val="Tahoma"/>
            <family val="0"/>
          </rPr>
          <t xml:space="preserve">
The ingredients 1-4 can be set as a percentage of the total flour weight. You can change the labels on the left to suit you.</t>
        </r>
      </text>
    </comment>
    <comment ref="A19" authorId="0">
      <text>
        <r>
          <rPr>
            <b/>
            <sz val="8"/>
            <rFont val="Tahoma"/>
            <family val="0"/>
          </rPr>
          <t>bwraith:</t>
        </r>
        <r>
          <rPr>
            <sz val="8"/>
            <rFont val="Tahoma"/>
            <family val="0"/>
          </rPr>
          <t xml:space="preserve">
The main levain flour will be calculated from the inoculation desired less flour contributed by the storage starters and the additional levain flours above. The label can be changed to reflect the type of flour used.</t>
        </r>
      </text>
    </comment>
    <comment ref="A17" authorId="0">
      <text>
        <r>
          <rPr>
            <b/>
            <sz val="8"/>
            <rFont val="Tahoma"/>
            <family val="0"/>
          </rPr>
          <t>bwraith:</t>
        </r>
        <r>
          <rPr>
            <sz val="8"/>
            <rFont val="Tahoma"/>
            <family val="0"/>
          </rPr>
          <t xml:space="preserve">
Levain flours 1-2 can be set as a percentage of the total levain flour weight. You can change the labels on the left to suit you.</t>
        </r>
      </text>
    </comment>
    <comment ref="E17" authorId="0">
      <text>
        <r>
          <rPr>
            <b/>
            <sz val="8"/>
            <rFont val="Tahoma"/>
            <family val="0"/>
          </rPr>
          <t>bwraith:</t>
        </r>
        <r>
          <rPr>
            <sz val="8"/>
            <rFont val="Tahoma"/>
            <family val="0"/>
          </rPr>
          <t xml:space="preserve">
Percentages are of total levain flour including storage starter flour in this case.</t>
        </r>
      </text>
    </comment>
    <comment ref="E18" authorId="0">
      <text>
        <r>
          <rPr>
            <b/>
            <sz val="8"/>
            <rFont val="Tahoma"/>
            <family val="0"/>
          </rPr>
          <t>bwraith:</t>
        </r>
        <r>
          <rPr>
            <sz val="8"/>
            <rFont val="Tahoma"/>
            <family val="0"/>
          </rPr>
          <t xml:space="preserve">
Percentages are of total levain flour including storage starter flour in this case.</t>
        </r>
      </text>
    </comment>
    <comment ref="E19" authorId="0">
      <text>
        <r>
          <rPr>
            <b/>
            <sz val="8"/>
            <rFont val="Tahoma"/>
            <family val="0"/>
          </rPr>
          <t>bwraith:</t>
        </r>
        <r>
          <rPr>
            <sz val="8"/>
            <rFont val="Tahoma"/>
            <family val="0"/>
          </rPr>
          <t xml:space="preserve">
Percentages are of total levain flour including storage starter flour in this case.</t>
        </r>
      </text>
    </comment>
    <comment ref="E5" authorId="0">
      <text>
        <r>
          <rPr>
            <b/>
            <sz val="8"/>
            <rFont val="Tahoma"/>
            <family val="0"/>
          </rPr>
          <t>bwraith:</t>
        </r>
        <r>
          <rPr>
            <sz val="8"/>
            <rFont val="Tahoma"/>
            <family val="0"/>
          </rPr>
          <t xml:space="preserve">
Percentages are of total levain flour including storage starter flour in this case.</t>
        </r>
      </text>
    </comment>
    <comment ref="E10" authorId="0">
      <text>
        <r>
          <rPr>
            <b/>
            <sz val="8"/>
            <rFont val="Tahoma"/>
            <family val="0"/>
          </rPr>
          <t>bwraith:</t>
        </r>
        <r>
          <rPr>
            <sz val="8"/>
            <rFont val="Tahoma"/>
            <family val="0"/>
          </rPr>
          <t xml:space="preserve">
Percentages are of total levain flour including storage starter flour in this case.</t>
        </r>
      </text>
    </comment>
    <comment ref="E13" authorId="0">
      <text>
        <r>
          <rPr>
            <b/>
            <sz val="8"/>
            <rFont val="Tahoma"/>
            <family val="0"/>
          </rPr>
          <t>bwraith:</t>
        </r>
        <r>
          <rPr>
            <sz val="8"/>
            <rFont val="Tahoma"/>
            <family val="0"/>
          </rPr>
          <t xml:space="preserve">
Percentages are of total levain flour including storage starter flour in this case.</t>
        </r>
      </text>
    </comment>
    <comment ref="E14" authorId="0">
      <text>
        <r>
          <rPr>
            <b/>
            <sz val="8"/>
            <rFont val="Tahoma"/>
            <family val="0"/>
          </rPr>
          <t>bwraith:</t>
        </r>
        <r>
          <rPr>
            <sz val="8"/>
            <rFont val="Tahoma"/>
            <family val="0"/>
          </rPr>
          <t xml:space="preserve">
Percentages are of total levain flour including storage starter flour in this case.</t>
        </r>
      </text>
    </comment>
    <comment ref="E20" authorId="0">
      <text>
        <r>
          <rPr>
            <b/>
            <sz val="8"/>
            <rFont val="Tahoma"/>
            <family val="0"/>
          </rPr>
          <t>bwraith:</t>
        </r>
        <r>
          <rPr>
            <sz val="8"/>
            <rFont val="Tahoma"/>
            <family val="0"/>
          </rPr>
          <t xml:space="preserve">
Percentages are of total levain flour including storage starter flour in this case.</t>
        </r>
      </text>
    </comment>
    <comment ref="A20" authorId="0">
      <text>
        <r>
          <rPr>
            <b/>
            <sz val="8"/>
            <rFont val="Tahoma"/>
            <family val="0"/>
          </rPr>
          <t>bwraith:</t>
        </r>
        <r>
          <rPr>
            <sz val="8"/>
            <rFont val="Tahoma"/>
            <family val="0"/>
          </rPr>
          <t xml:space="preserve">
This is the levain water you need to add to bring the overall hydration to the "Overall Levain Hydration". It is the total water in the levain less any water added by storage starters.</t>
        </r>
      </text>
    </comment>
    <comment ref="F3" authorId="0">
      <text>
        <r>
          <rPr>
            <b/>
            <sz val="8"/>
            <rFont val="Tahoma"/>
            <family val="0"/>
          </rPr>
          <t>bwraith:</t>
        </r>
        <r>
          <rPr>
            <sz val="8"/>
            <rFont val="Tahoma"/>
            <family val="0"/>
          </rPr>
          <t xml:space="preserve">
This is the hydration of your storage starter. I've provided for the possibility of including a second amount of storage starter in the levain. This is so you can combine a firm and liquid storage starter in the levain.</t>
        </r>
      </text>
    </comment>
    <comment ref="F8" authorId="0">
      <text>
        <r>
          <rPr>
            <b/>
            <sz val="8"/>
            <rFont val="Tahoma"/>
            <family val="0"/>
          </rPr>
          <t>bwraith:</t>
        </r>
        <r>
          <rPr>
            <sz val="8"/>
            <rFont val="Tahoma"/>
            <family val="0"/>
          </rPr>
          <t xml:space="preserve">
This is the hydration of second storage starter, if you happen to add a second amount of storage starter with a different hydration.</t>
        </r>
      </text>
    </comment>
  </commentList>
</comments>
</file>

<file path=xl/comments4.xml><?xml version="1.0" encoding="utf-8"?>
<comments xmlns="http://schemas.openxmlformats.org/spreadsheetml/2006/main">
  <authors>
    <author>bwraith</author>
  </authors>
  <commentList>
    <comment ref="Z16" authorId="0">
      <text>
        <r>
          <rPr>
            <b/>
            <sz val="8"/>
            <rFont val="Tahoma"/>
            <family val="0"/>
          </rPr>
          <t>bwraith:</t>
        </r>
        <r>
          <rPr>
            <sz val="8"/>
            <rFont val="Tahoma"/>
            <family val="0"/>
          </rPr>
          <t xml:space="preserve">
try 0.99
</t>
        </r>
      </text>
    </comment>
    <comment ref="AA16" authorId="0">
      <text>
        <r>
          <rPr>
            <b/>
            <sz val="8"/>
            <rFont val="Tahoma"/>
            <family val="0"/>
          </rPr>
          <t>bwraith:</t>
        </r>
        <r>
          <rPr>
            <sz val="8"/>
            <rFont val="Tahoma"/>
            <family val="0"/>
          </rPr>
          <t xml:space="preserve">
try 1.03</t>
        </r>
      </text>
    </comment>
    <comment ref="AB16" authorId="0">
      <text>
        <r>
          <rPr>
            <b/>
            <sz val="8"/>
            <rFont val="Tahoma"/>
            <family val="0"/>
          </rPr>
          <t>bwraith:</t>
        </r>
        <r>
          <rPr>
            <sz val="8"/>
            <rFont val="Tahoma"/>
            <family val="0"/>
          </rPr>
          <t xml:space="preserve">
try 1.4
</t>
        </r>
      </text>
    </comment>
    <comment ref="AC16" authorId="0">
      <text>
        <r>
          <rPr>
            <b/>
            <sz val="8"/>
            <rFont val="Tahoma"/>
            <family val="0"/>
          </rPr>
          <t>bwraith:</t>
        </r>
        <r>
          <rPr>
            <sz val="8"/>
            <rFont val="Tahoma"/>
            <family val="0"/>
          </rPr>
          <t xml:space="preserve">
try 1.01</t>
        </r>
      </text>
    </comment>
  </commentList>
</comments>
</file>

<file path=xl/sharedStrings.xml><?xml version="1.0" encoding="utf-8"?>
<sst xmlns="http://schemas.openxmlformats.org/spreadsheetml/2006/main" count="219" uniqueCount="163">
  <si>
    <t>a    0.1267    0.0682    0.0124</t>
  </si>
  <si>
    <t>b    1.5404    1.9782    2.9810</t>
  </si>
  <si>
    <t>c   -0.1931   -0.2233   -0.3355</t>
  </si>
  <si>
    <t>a</t>
  </si>
  <si>
    <t>b</t>
  </si>
  <si>
    <t>c</t>
  </si>
  <si>
    <t>lsf1</t>
  </si>
  <si>
    <t>lsf2</t>
  </si>
  <si>
    <t>cmilleri</t>
  </si>
  <si>
    <t>t0</t>
  </si>
  <si>
    <t>hydration</t>
  </si>
  <si>
    <t>exponent</t>
  </si>
  <si>
    <t>hcenter</t>
  </si>
  <si>
    <t>lsf average</t>
  </si>
  <si>
    <t>lsfave</t>
  </si>
  <si>
    <t>temp</t>
  </si>
  <si>
    <t>u0</t>
  </si>
  <si>
    <t>uy(T)</t>
  </si>
  <si>
    <t>uh(h)</t>
  </si>
  <si>
    <t>ui(xi)</t>
  </si>
  <si>
    <t>uall(T,h,xi)</t>
  </si>
  <si>
    <t>s0</t>
  </si>
  <si>
    <t>tr</t>
  </si>
  <si>
    <t>TC</t>
  </si>
  <si>
    <t>TF</t>
  </si>
  <si>
    <t>sp</t>
  </si>
  <si>
    <t>tp</t>
  </si>
  <si>
    <t>tf</t>
  </si>
  <si>
    <t>ulb(T)</t>
  </si>
  <si>
    <t>uall_lb(T,h,xi,u0)</t>
  </si>
  <si>
    <t>sour index</t>
  </si>
  <si>
    <t>ts</t>
  </si>
  <si>
    <t>starter</t>
  </si>
  <si>
    <t>starter h</t>
  </si>
  <si>
    <t>starter i</t>
  </si>
  <si>
    <t>starter u</t>
  </si>
  <si>
    <t>starter pot</t>
  </si>
  <si>
    <t>inoculation</t>
  </si>
  <si>
    <t>rot factor</t>
  </si>
  <si>
    <t>glutrot</t>
  </si>
  <si>
    <t>stage</t>
  </si>
  <si>
    <t>time</t>
  </si>
  <si>
    <t>temp f</t>
  </si>
  <si>
    <t>temp c</t>
  </si>
  <si>
    <t>uall_ave</t>
  </si>
  <si>
    <t>feeding cycle</t>
  </si>
  <si>
    <t>sfeeding</t>
  </si>
  <si>
    <t>flour</t>
  </si>
  <si>
    <t>water</t>
  </si>
  <si>
    <t>salt</t>
  </si>
  <si>
    <t>starter hyd</t>
  </si>
  <si>
    <t>rise time</t>
  </si>
  <si>
    <t>temp F</t>
  </si>
  <si>
    <t>temp C</t>
  </si>
  <si>
    <t>start time</t>
  </si>
  <si>
    <t>est end time</t>
  </si>
  <si>
    <t>actual time</t>
  </si>
  <si>
    <t>difference</t>
  </si>
  <si>
    <t>weight</t>
  </si>
  <si>
    <t>diff squared</t>
  </si>
  <si>
    <t>rotfactor</t>
  </si>
  <si>
    <t>glutenrot</t>
  </si>
  <si>
    <t>stiff_h(h)</t>
  </si>
  <si>
    <t>stiff_xi(xi)</t>
  </si>
  <si>
    <t>h</t>
  </si>
  <si>
    <t>xi</t>
  </si>
  <si>
    <t>stiffness</t>
  </si>
  <si>
    <t>u_glut</t>
  </si>
  <si>
    <t>urise_ave</t>
  </si>
  <si>
    <t>stiff_h</t>
  </si>
  <si>
    <t>stiff_xi</t>
  </si>
  <si>
    <t>gluten_q</t>
  </si>
  <si>
    <t>ph_slowdown</t>
  </si>
  <si>
    <t>glut_q</t>
  </si>
  <si>
    <t>h, xi</t>
  </si>
  <si>
    <t>h,xi</t>
  </si>
  <si>
    <t>glutqfactor</t>
  </si>
  <si>
    <t>end time</t>
  </si>
  <si>
    <t>inoculation percentage</t>
  </si>
  <si>
    <t>Levain</t>
  </si>
  <si>
    <t>Dough</t>
  </si>
  <si>
    <t>Stage calculator</t>
  </si>
  <si>
    <t>ripeness factor (try 2.75)</t>
  </si>
  <si>
    <t>proofing factor (try 2.3)</t>
  </si>
  <si>
    <t>ferment time</t>
  </si>
  <si>
    <t>doubling time</t>
  </si>
  <si>
    <t>bulk ferment time</t>
  </si>
  <si>
    <t>proof time</t>
  </si>
  <si>
    <t>bulk ferment factor (try 1.0)</t>
  </si>
  <si>
    <t>Inputs in blue</t>
  </si>
  <si>
    <t>average factor</t>
  </si>
  <si>
    <t>lb factor</t>
  </si>
  <si>
    <t>yeast factor</t>
  </si>
  <si>
    <t>ave activity</t>
  </si>
  <si>
    <t>lb activity</t>
  </si>
  <si>
    <t>yeast activity</t>
  </si>
  <si>
    <t>weight oz</t>
  </si>
  <si>
    <t>grams</t>
  </si>
  <si>
    <t>percentage</t>
  </si>
  <si>
    <t>starter flour</t>
  </si>
  <si>
    <t>starter water</t>
  </si>
  <si>
    <t>Levain Water</t>
  </si>
  <si>
    <t>wheat germ</t>
  </si>
  <si>
    <t>malt syrup</t>
  </si>
  <si>
    <t>recipe salt</t>
  </si>
  <si>
    <t>instant yeast</t>
  </si>
  <si>
    <t>olive oil</t>
  </si>
  <si>
    <t>total salt</t>
  </si>
  <si>
    <t>total flour</t>
  </si>
  <si>
    <t>total water</t>
  </si>
  <si>
    <t>flour from starter</t>
  </si>
  <si>
    <t>Inputs are in blue</t>
  </si>
  <si>
    <t>Whole Rye</t>
  </si>
  <si>
    <t>flour 1</t>
  </si>
  <si>
    <t>flour 2</t>
  </si>
  <si>
    <t>flour 3</t>
  </si>
  <si>
    <t>flour 4</t>
  </si>
  <si>
    <t>flour 5</t>
  </si>
  <si>
    <t>main flour</t>
  </si>
  <si>
    <t>ingredient 1</t>
  </si>
  <si>
    <t>ingredient 2</t>
  </si>
  <si>
    <t>ingredient 3</t>
  </si>
  <si>
    <t>ingredient 4</t>
  </si>
  <si>
    <t>inoc from bread calc</t>
  </si>
  <si>
    <t>hyd from bread calc</t>
  </si>
  <si>
    <t>salt from bread calc</t>
  </si>
  <si>
    <t>time (hrs)</t>
  </si>
  <si>
    <t>mix to bake</t>
  </si>
  <si>
    <t>levain inoculation percentage</t>
  </si>
  <si>
    <t>Golden Buffalo</t>
  </si>
  <si>
    <t>Miche 3</t>
  </si>
  <si>
    <t>temperature F</t>
  </si>
  <si>
    <t>bulk ferment temp F</t>
  </si>
  <si>
    <t>final proof temp F</t>
  </si>
  <si>
    <t>starter speed factor (try 1.23)</t>
  </si>
  <si>
    <t>starter speed factor (try 1.4)</t>
  </si>
  <si>
    <t>Total Time (mix to bake)</t>
  </si>
  <si>
    <t>fermentation progress</t>
  </si>
  <si>
    <t>levain fermentation begins</t>
  </si>
  <si>
    <t>levain doubled</t>
  </si>
  <si>
    <t>levain ready</t>
  </si>
  <si>
    <t>bulk fermentation starts</t>
  </si>
  <si>
    <t>bulk fermentation ends</t>
  </si>
  <si>
    <t>final proof ends</t>
  </si>
  <si>
    <t>levain flour 1</t>
  </si>
  <si>
    <t>levain flour 2</t>
  </si>
  <si>
    <t>main levain flour</t>
  </si>
  <si>
    <t>Levain Whole Spelt Flour</t>
  </si>
  <si>
    <t>Levain Bread Flour</t>
  </si>
  <si>
    <t>levain percentage</t>
  </si>
  <si>
    <t>Overall Levain Hydration</t>
  </si>
  <si>
    <t>Overall Levain Inoculation</t>
  </si>
  <si>
    <t>starter 1 hydration</t>
  </si>
  <si>
    <t>starter 2 hydration</t>
  </si>
  <si>
    <t>Storage Starter 1</t>
  </si>
  <si>
    <t>Storage Starter 2</t>
  </si>
  <si>
    <t>Homestead GM Sifted White</t>
  </si>
  <si>
    <t>Heartland Golden Buffalo</t>
  </si>
  <si>
    <t>Wheat MT Bronze Chief</t>
  </si>
  <si>
    <t>Whole Spelt</t>
  </si>
  <si>
    <t>Wheat MT AP</t>
  </si>
  <si>
    <t>Start Time</t>
  </si>
  <si>
    <t>End Time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</si>
</sst>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409]h:mm:ss\ AM/PM"/>
    <numFmt numFmtId="168" formatCode="[$-F400]h:mm:ss\ AM/PM"/>
    <numFmt numFmtId="169" formatCode="[$-409]h:mm\ AM/PM;@"/>
    <numFmt numFmtId="170" formatCode="[$-409]h:mm:ss\ AM/PM;@"/>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0">
    <font>
      <sz val="10"/>
      <name val="Arial"/>
      <family val="0"/>
    </font>
    <font>
      <sz val="8"/>
      <name val="Arial"/>
      <family val="0"/>
    </font>
    <font>
      <b/>
      <sz val="8"/>
      <name val="Arial"/>
      <family val="0"/>
    </font>
    <font>
      <sz val="5.25"/>
      <name val="Arial"/>
      <family val="0"/>
    </font>
    <font>
      <sz val="8"/>
      <name val="Tahoma"/>
      <family val="0"/>
    </font>
    <font>
      <b/>
      <sz val="8"/>
      <name val="Tahoma"/>
      <family val="0"/>
    </font>
    <font>
      <sz val="4.75"/>
      <name val="Arial"/>
      <family val="0"/>
    </font>
    <font>
      <sz val="4.5"/>
      <name val="Arial"/>
      <family val="0"/>
    </font>
    <font>
      <sz val="9"/>
      <name val="Arial"/>
      <family val="2"/>
    </font>
    <font>
      <b/>
      <sz val="10"/>
      <name val="Arial"/>
      <family val="0"/>
    </font>
  </fonts>
  <fills count="4">
    <fill>
      <patternFill/>
    </fill>
    <fill>
      <patternFill patternType="gray125"/>
    </fill>
    <fill>
      <patternFill patternType="solid">
        <fgColor indexed="15"/>
        <bgColor indexed="64"/>
      </patternFill>
    </fill>
    <fill>
      <patternFill patternType="solid">
        <fgColor indexed="3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2" fontId="0" fillId="0" borderId="0" xfId="0" applyNumberFormat="1" applyAlignment="1">
      <alignment/>
    </xf>
    <xf numFmtId="0" fontId="0" fillId="2" borderId="0" xfId="0" applyFill="1" applyAlignment="1" applyProtection="1">
      <alignment/>
      <protection locked="0"/>
    </xf>
    <xf numFmtId="166"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168" fontId="0" fillId="0" borderId="0" xfId="0" applyNumberFormat="1" applyAlignment="1">
      <alignment/>
    </xf>
    <xf numFmtId="10" fontId="0" fillId="0" borderId="0" xfId="0" applyNumberFormat="1" applyAlignment="1">
      <alignment/>
    </xf>
    <xf numFmtId="169" fontId="0" fillId="0" borderId="0" xfId="0" applyNumberFormat="1" applyAlignment="1">
      <alignment/>
    </xf>
    <xf numFmtId="18" fontId="0" fillId="0" borderId="0" xfId="0" applyNumberFormat="1" applyAlignment="1">
      <alignment/>
    </xf>
    <xf numFmtId="0" fontId="0" fillId="0" borderId="0" xfId="0" applyAlignment="1">
      <alignment horizontal="right"/>
    </xf>
    <xf numFmtId="0" fontId="0" fillId="0" borderId="0" xfId="0" applyFill="1" applyAlignment="1" applyProtection="1">
      <alignment/>
      <protection/>
    </xf>
    <xf numFmtId="2" fontId="0" fillId="2" borderId="0" xfId="0" applyNumberFormat="1" applyFill="1" applyAlignment="1" applyProtection="1">
      <alignment/>
      <protection locked="0"/>
    </xf>
    <xf numFmtId="170" fontId="0" fillId="0" borderId="0" xfId="0" applyNumberFormat="1" applyAlignment="1">
      <alignment/>
    </xf>
    <xf numFmtId="164" fontId="0" fillId="0" borderId="0" xfId="0" applyNumberFormat="1" applyAlignment="1">
      <alignment/>
    </xf>
    <xf numFmtId="17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2" fontId="0" fillId="3" borderId="0" xfId="0" applyNumberFormat="1" applyFill="1" applyAlignment="1" applyProtection="1">
      <alignment/>
      <protection locked="0"/>
    </xf>
    <xf numFmtId="0" fontId="0" fillId="3" borderId="0" xfId="0" applyFill="1" applyAlignment="1" applyProtection="1">
      <alignment/>
      <protection locked="0"/>
    </xf>
    <xf numFmtId="0" fontId="0" fillId="0" borderId="1" xfId="0" applyBorder="1" applyAlignment="1">
      <alignment horizontal="right"/>
    </xf>
    <xf numFmtId="1" fontId="0" fillId="0" borderId="1" xfId="0" applyNumberFormat="1" applyBorder="1" applyAlignment="1">
      <alignment horizontal="right"/>
    </xf>
    <xf numFmtId="0" fontId="0" fillId="0" borderId="1" xfId="0" applyBorder="1" applyAlignment="1">
      <alignment/>
    </xf>
    <xf numFmtId="1" fontId="0" fillId="0" borderId="1" xfId="0" applyNumberFormat="1" applyBorder="1" applyAlignment="1">
      <alignment/>
    </xf>
    <xf numFmtId="1" fontId="0" fillId="2" borderId="1" xfId="0" applyNumberFormat="1" applyFill="1" applyBorder="1" applyAlignment="1" applyProtection="1">
      <alignment/>
      <protection locked="0"/>
    </xf>
    <xf numFmtId="10" fontId="0" fillId="0" borderId="1" xfId="0" applyNumberFormat="1" applyBorder="1" applyAlignment="1">
      <alignment/>
    </xf>
    <xf numFmtId="10" fontId="0" fillId="2" borderId="1" xfId="0" applyNumberFormat="1" applyFill="1" applyBorder="1" applyAlignment="1" applyProtection="1">
      <alignment/>
      <protection locked="0"/>
    </xf>
    <xf numFmtId="1" fontId="0" fillId="0" borderId="1" xfId="0" applyNumberFormat="1" applyFill="1" applyBorder="1" applyAlignment="1" applyProtection="1">
      <alignment/>
      <protection/>
    </xf>
    <xf numFmtId="171" fontId="0" fillId="0" borderId="1" xfId="0" applyNumberFormat="1" applyBorder="1" applyAlignment="1">
      <alignment/>
    </xf>
    <xf numFmtId="2" fontId="0" fillId="0" borderId="1" xfId="0" applyNumberFormat="1" applyBorder="1" applyAlignment="1">
      <alignment/>
    </xf>
    <xf numFmtId="10" fontId="0" fillId="0" borderId="1" xfId="0" applyNumberFormat="1" applyFill="1" applyBorder="1" applyAlignment="1" applyProtection="1">
      <alignment/>
      <protection/>
    </xf>
    <xf numFmtId="2" fontId="0" fillId="0" borderId="1" xfId="0" applyNumberFormat="1" applyBorder="1" applyAlignment="1">
      <alignment horizontal="right"/>
    </xf>
    <xf numFmtId="0" fontId="9" fillId="0" borderId="0" xfId="0" applyFont="1" applyAlignment="1">
      <alignment/>
    </xf>
    <xf numFmtId="0" fontId="0" fillId="0" borderId="1" xfId="0" applyBorder="1" applyAlignment="1" applyProtection="1">
      <alignment/>
      <protection locked="0"/>
    </xf>
    <xf numFmtId="0" fontId="0" fillId="0" borderId="1" xfId="0" applyBorder="1" applyAlignment="1" applyProtection="1">
      <alignment horizontal="left"/>
      <protection locked="0"/>
    </xf>
    <xf numFmtId="18" fontId="0" fillId="3" borderId="0" xfId="0" applyNumberFormat="1" applyFill="1" applyAlignment="1" applyProtection="1">
      <alignment/>
      <protection locked="0"/>
    </xf>
    <xf numFmtId="10" fontId="0" fillId="3" borderId="0" xfId="0" applyNumberFormat="1" applyFill="1" applyAlignment="1" applyProtection="1">
      <alignment/>
      <protection locked="0"/>
    </xf>
    <xf numFmtId="18" fontId="0" fillId="3" borderId="0" xfId="0" applyNumberFormat="1" applyFill="1" applyAlignment="1" applyProtection="1">
      <alignment horizontal="right"/>
      <protection locked="0"/>
    </xf>
    <xf numFmtId="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00" b="0" i="0" u="none" baseline="0">
              <a:latin typeface="Arial"/>
              <a:ea typeface="Arial"/>
              <a:cs typeface="Arial"/>
            </a:defRPr>
          </a:pPr>
        </a:p>
      </c:tx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numCache>
            </c:numRef>
          </c:cat>
          <c:val>
            <c:numRef>
              <c:f>model!$B$63:$B$81</c:f>
              <c:numCache>
                <c:ptCount val="19"/>
                <c:pt idx="0">
                  <c:v>0.11672089159097807</c:v>
                </c:pt>
                <c:pt idx="1">
                  <c:v>0.16414209443768374</c:v>
                </c:pt>
                <c:pt idx="2">
                  <c:v>0.226390624283682</c:v>
                </c:pt>
                <c:pt idx="3">
                  <c:v>0.30556210157073566</c:v>
                </c:pt>
                <c:pt idx="4">
                  <c:v>0.40253445017879597</c:v>
                </c:pt>
                <c:pt idx="5">
                  <c:v>0.5159506058172699</c:v>
                </c:pt>
                <c:pt idx="6">
                  <c:v>0.6410201779783669</c:v>
                </c:pt>
                <c:pt idx="7">
                  <c:v>0.768395926999152</c:v>
                </c:pt>
                <c:pt idx="8">
                  <c:v>0.8836015065338555</c:v>
                </c:pt>
                <c:pt idx="9">
                  <c:v>0.967704273107014</c:v>
                </c:pt>
                <c:pt idx="10">
                  <c:v>1</c:v>
                </c:pt>
                <c:pt idx="11">
                  <c:v>0.9631716773497361</c:v>
                </c:pt>
                <c:pt idx="12">
                  <c:v>0.8504370720868242</c:v>
                </c:pt>
                <c:pt idx="13">
                  <c:v>0.67251920683057</c:v>
                </c:pt>
                <c:pt idx="14">
                  <c:v>0.46034486385138196</c:v>
                </c:pt>
                <c:pt idx="15">
                  <c:v>0.2587144684272833</c:v>
                </c:pt>
                <c:pt idx="16">
                  <c:v>0.10925888477745137</c:v>
                </c:pt>
                <c:pt idx="17">
                  <c:v>0.029369174817095202</c:v>
                </c:pt>
                <c:pt idx="18">
                  <c:v>0.003461458015054706</c:v>
                </c:pt>
              </c:numCache>
            </c:numRef>
          </c:val>
          <c:smooth val="0"/>
        </c:ser>
        <c:marker val="1"/>
        <c:axId val="30405952"/>
        <c:axId val="5218113"/>
      </c:lineChart>
      <c:catAx>
        <c:axId val="30405952"/>
        <c:scaling>
          <c:orientation val="minMax"/>
        </c:scaling>
        <c:axPos val="b"/>
        <c:delete val="0"/>
        <c:numFmt formatCode="General" sourceLinked="1"/>
        <c:majorTickMark val="out"/>
        <c:minorTickMark val="none"/>
        <c:tickLblPos val="nextTo"/>
        <c:crossAx val="5218113"/>
        <c:crosses val="autoZero"/>
        <c:auto val="1"/>
        <c:lblOffset val="100"/>
        <c:noMultiLvlLbl val="0"/>
      </c:catAx>
      <c:valAx>
        <c:axId val="5218113"/>
        <c:scaling>
          <c:orientation val="minMax"/>
        </c:scaling>
        <c:axPos val="l"/>
        <c:majorGridlines/>
        <c:delete val="0"/>
        <c:numFmt formatCode="General" sourceLinked="1"/>
        <c:majorTickMark val="out"/>
        <c:minorTickMark val="none"/>
        <c:tickLblPos val="nextTo"/>
        <c:crossAx val="304059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model!$B$63:$B$81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19460634"/>
        <c:axId val="40927979"/>
      </c:lineChart>
      <c:catAx>
        <c:axId val="19460634"/>
        <c:scaling>
          <c:orientation val="minMax"/>
        </c:scaling>
        <c:axPos val="b"/>
        <c:delete val="0"/>
        <c:numFmt formatCode="General" sourceLinked="1"/>
        <c:majorTickMark val="out"/>
        <c:minorTickMark val="none"/>
        <c:tickLblPos val="nextTo"/>
        <c:crossAx val="40927979"/>
        <c:crosses val="autoZero"/>
        <c:auto val="1"/>
        <c:lblOffset val="100"/>
        <c:noMultiLvlLbl val="0"/>
      </c:catAx>
      <c:valAx>
        <c:axId val="40927979"/>
        <c:scaling>
          <c:orientation val="minMax"/>
        </c:scaling>
        <c:axPos val="l"/>
        <c:majorGridlines/>
        <c:delete val="0"/>
        <c:numFmt formatCode="General" sourceLinked="1"/>
        <c:majorTickMark val="out"/>
        <c:minorTickMark val="none"/>
        <c:tickLblPos val="nextTo"/>
        <c:crossAx val="194606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6975"/>
          <c:w val="0.8705"/>
          <c:h val="0.8215"/>
        </c:manualLayout>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model!$F$40:$F$60</c:f>
              <c:numCache>
                <c:ptCount val="21"/>
                <c:pt idx="0">
                  <c:v>0.999409692324792</c:v>
                </c:pt>
                <c:pt idx="1">
                  <c:v>0.9959631684657666</c:v>
                </c:pt>
                <c:pt idx="2">
                  <c:v>0.9901309366312874</c:v>
                </c:pt>
                <c:pt idx="3">
                  <c:v>0.9822172058996108</c:v>
                </c:pt>
                <c:pt idx="4">
                  <c:v>0.9723940420899319</c:v>
                </c:pt>
                <c:pt idx="5">
                  <c:v>0.9607792739516707</c:v>
                </c:pt>
                <c:pt idx="6">
                  <c:v>0.947461303149428</c:v>
                </c:pt>
                <c:pt idx="7">
                  <c:v>0.9325102012164572</c:v>
                </c:pt>
                <c:pt idx="8">
                  <c:v>0.915983605073577</c:v>
                </c:pt>
                <c:pt idx="9">
                  <c:v>0.897930207556927</c:v>
                </c:pt>
                <c:pt idx="10">
                  <c:v>0.8783919860673669</c:v>
                </c:pt>
                <c:pt idx="11">
                  <c:v>0.857405707409202</c:v>
                </c:pt>
                <c:pt idx="12">
                  <c:v>0.8350039888243876</c:v>
                </c:pt>
                <c:pt idx="13">
                  <c:v>0.8112160723900093</c:v>
                </c:pt>
                <c:pt idx="14">
                  <c:v>0.78606840639446</c:v>
                </c:pt>
                <c:pt idx="15">
                  <c:v>0.7595850921934595</c:v>
                </c:pt>
                <c:pt idx="16">
                  <c:v>0.7317882345818298</c:v>
                </c:pt>
                <c:pt idx="17">
                  <c:v>0.7026982212493196</c:v>
                </c:pt>
                <c:pt idx="18">
                  <c:v>0.672333949003973</c:v>
                </c:pt>
                <c:pt idx="19">
                  <c:v>0.6407130092977402</c:v>
                </c:pt>
                <c:pt idx="20">
                  <c:v>0.6078518421322108</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model!$I$40:$I$60</c:f>
              <c:numCache>
                <c:ptCount val="21"/>
                <c:pt idx="0">
                  <c:v>0.9997959183673469</c:v>
                </c:pt>
                <c:pt idx="1">
                  <c:v>0.9981632653061224</c:v>
                </c:pt>
                <c:pt idx="2">
                  <c:v>0.9948979591836735</c:v>
                </c:pt>
                <c:pt idx="3">
                  <c:v>0.99</c:v>
                </c:pt>
                <c:pt idx="4">
                  <c:v>0.9834693877551021</c:v>
                </c:pt>
                <c:pt idx="5">
                  <c:v>0.9753061224489796</c:v>
                </c:pt>
                <c:pt idx="6">
                  <c:v>0.9655102040816327</c:v>
                </c:pt>
                <c:pt idx="7">
                  <c:v>0.9540816326530612</c:v>
                </c:pt>
                <c:pt idx="8">
                  <c:v>0.9410204081632653</c:v>
                </c:pt>
                <c:pt idx="9">
                  <c:v>0.9263265306122449</c:v>
                </c:pt>
                <c:pt idx="10">
                  <c:v>0.91</c:v>
                </c:pt>
                <c:pt idx="11">
                  <c:v>0.8920408163265307</c:v>
                </c:pt>
                <c:pt idx="12">
                  <c:v>0.8724489795918368</c:v>
                </c:pt>
                <c:pt idx="13">
                  <c:v>0.8512244897959184</c:v>
                </c:pt>
                <c:pt idx="14">
                  <c:v>0.8283673469387756</c:v>
                </c:pt>
                <c:pt idx="15">
                  <c:v>0.8038775510204081</c:v>
                </c:pt>
                <c:pt idx="16">
                  <c:v>0.7777551020408162</c:v>
                </c:pt>
                <c:pt idx="17">
                  <c:v>0.7499999999999999</c:v>
                </c:pt>
                <c:pt idx="18">
                  <c:v>0.720612244897959</c:v>
                </c:pt>
                <c:pt idx="19">
                  <c:v>0.6895918367346937</c:v>
                </c:pt>
                <c:pt idx="20">
                  <c:v>0.6569387755102039</c:v>
                </c:pt>
              </c:numCache>
            </c:numRef>
          </c:val>
          <c:smooth val="0"/>
        </c:ser>
        <c:marker val="1"/>
        <c:axId val="46963018"/>
        <c:axId val="20013979"/>
      </c:lineChart>
      <c:catAx>
        <c:axId val="46963018"/>
        <c:scaling>
          <c:orientation val="minMax"/>
        </c:scaling>
        <c:axPos val="b"/>
        <c:delete val="0"/>
        <c:numFmt formatCode="General" sourceLinked="1"/>
        <c:majorTickMark val="out"/>
        <c:minorTickMark val="none"/>
        <c:tickLblPos val="nextTo"/>
        <c:crossAx val="20013979"/>
        <c:crossesAt val="0.4"/>
        <c:auto val="1"/>
        <c:lblOffset val="100"/>
        <c:noMultiLvlLbl val="0"/>
      </c:catAx>
      <c:valAx>
        <c:axId val="20013979"/>
        <c:scaling>
          <c:orientation val="minMax"/>
          <c:min val="0.4"/>
        </c:scaling>
        <c:axPos val="l"/>
        <c:majorGridlines/>
        <c:delete val="0"/>
        <c:numFmt formatCode="General" sourceLinked="1"/>
        <c:majorTickMark val="out"/>
        <c:minorTickMark val="none"/>
        <c:tickLblPos val="nextTo"/>
        <c:crossAx val="46963018"/>
        <c:crossesAt val="1"/>
        <c:crossBetween val="between"/>
        <c:dispUnits/>
      </c:valAx>
      <c:spPr>
        <a:solidFill>
          <a:srgbClr val="C0C0C0"/>
        </a:solidFill>
        <a:ln w="12700">
          <a:solidFill>
            <a:srgbClr val="808080"/>
          </a:solidFill>
        </a:ln>
      </c:spPr>
    </c:plotArea>
    <c:legend>
      <c:legendPos val="t"/>
      <c:layout>
        <c:manualLayout>
          <c:xMode val="edge"/>
          <c:yMode val="edge"/>
          <c:x val="0.11025"/>
          <c:y val="0.03575"/>
          <c:w val="0.45625"/>
          <c:h val="0.10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model!$D$40:$D$54</c:f>
              <c:numCache>
                <c:ptCount val="15"/>
                <c:pt idx="0">
                  <c:v>1</c:v>
                </c:pt>
                <c:pt idx="1">
                  <c:v>0.9959570857389316</c:v>
                </c:pt>
                <c:pt idx="2">
                  <c:v>0.9881616541208703</c:v>
                </c:pt>
                <c:pt idx="3">
                  <c:v>0.9778061587080442</c:v>
                </c:pt>
                <c:pt idx="4">
                  <c:v>0.9653352942694187</c:v>
                </c:pt>
                <c:pt idx="5">
                  <c:v>0.9510110605095441</c:v>
                </c:pt>
                <c:pt idx="6">
                  <c:v>0.9350126288527203</c:v>
                </c:pt>
                <c:pt idx="7">
                  <c:v>0.9174729172927683</c:v>
                </c:pt>
                <c:pt idx="8">
                  <c:v>0.8984958003713831</c:v>
                </c:pt>
                <c:pt idx="9">
                  <c:v>0.8781654619699131</c:v>
                </c:pt>
                <c:pt idx="10">
                  <c:v>0.8565519888649555</c:v>
                </c:pt>
                <c:pt idx="11">
                  <c:v>0.8337149546346485</c:v>
                </c:pt>
                <c:pt idx="12">
                  <c:v>0.8097058389723166</c:v>
                </c:pt>
                <c:pt idx="13">
                  <c:v>0.7845697292153946</c:v>
                </c:pt>
                <c:pt idx="14">
                  <c:v>0.7583465573604407</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model!$H$40:$H$54</c:f>
              <c:numCache>
                <c:ptCount val="15"/>
                <c:pt idx="0">
                  <c:v>0.8925</c:v>
                </c:pt>
                <c:pt idx="1">
                  <c:v>0.9210499063902178</c:v>
                </c:pt>
                <c:pt idx="2">
                  <c:v>0.9444245927493868</c:v>
                </c:pt>
                <c:pt idx="3">
                  <c:v>0.9635621673151908</c:v>
                </c:pt>
                <c:pt idx="4">
                  <c:v>0.9792306881515377</c:v>
                </c:pt>
                <c:pt idx="5">
                  <c:v>0.9920589880154979</c:v>
                </c:pt>
                <c:pt idx="6">
                  <c:v>1.0025619116238282</c:v>
                </c:pt>
                <c:pt idx="7">
                  <c:v>1.011160978179197</c:v>
                </c:pt>
                <c:pt idx="8">
                  <c:v>1.018201298415842</c:v>
                </c:pt>
                <c:pt idx="9">
                  <c:v>1.0239654251051002</c:v>
                </c:pt>
                <c:pt idx="10">
                  <c:v>1.0286846928902336</c:v>
                </c:pt>
                <c:pt idx="11">
                  <c:v>1.0325485025579324</c:v>
                </c:pt>
                <c:pt idx="12">
                  <c:v>1.0357119223569176</c:v>
                </c:pt>
                <c:pt idx="13">
                  <c:v>1.0383019114312424</c:v>
                </c:pt>
                <c:pt idx="14">
                  <c:v>1.0404224151365282</c:v>
                </c:pt>
              </c:numCache>
            </c:numRef>
          </c:val>
          <c:smooth val="0"/>
        </c:ser>
        <c:marker val="1"/>
        <c:axId val="45908084"/>
        <c:axId val="10519573"/>
      </c:lineChart>
      <c:catAx>
        <c:axId val="45908084"/>
        <c:scaling>
          <c:orientation val="minMax"/>
        </c:scaling>
        <c:axPos val="b"/>
        <c:delete val="0"/>
        <c:numFmt formatCode="General" sourceLinked="1"/>
        <c:majorTickMark val="out"/>
        <c:minorTickMark val="none"/>
        <c:tickLblPos val="nextTo"/>
        <c:crossAx val="10519573"/>
        <c:crossesAt val="0.6"/>
        <c:auto val="1"/>
        <c:lblOffset val="100"/>
        <c:noMultiLvlLbl val="0"/>
      </c:catAx>
      <c:valAx>
        <c:axId val="10519573"/>
        <c:scaling>
          <c:orientation val="minMax"/>
          <c:min val="0.6"/>
        </c:scaling>
        <c:axPos val="l"/>
        <c:majorGridlines/>
        <c:delete val="0"/>
        <c:numFmt formatCode="General" sourceLinked="1"/>
        <c:majorTickMark val="out"/>
        <c:minorTickMark val="none"/>
        <c:tickLblPos val="nextTo"/>
        <c:crossAx val="45908084"/>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model!$B$40:$B$54</c:f>
              <c:numCache>
                <c:ptCount val="15"/>
                <c:pt idx="0">
                  <c:v>0.8604387574913911</c:v>
                </c:pt>
                <c:pt idx="1">
                  <c:v>0.8818639587134355</c:v>
                </c:pt>
                <c:pt idx="2">
                  <c:v>0.9</c:v>
                </c:pt>
                <c:pt idx="3">
                  <c:v>0.9153518275109387</c:v>
                </c:pt>
                <c:pt idx="4">
                  <c:v>0.9283468689426212</c:v>
                </c:pt>
                <c:pt idx="5">
                  <c:v>0.9393469340287367</c:v>
                </c:pt>
                <c:pt idx="6">
                  <c:v>0.9486582880967409</c:v>
                </c:pt>
                <c:pt idx="7">
                  <c:v>0.9565401791492922</c:v>
                </c:pt>
                <c:pt idx="8">
                  <c:v>0.9632120558828559</c:v>
                </c:pt>
                <c:pt idx="9">
                  <c:v>0.9688596776085403</c:v>
                </c:pt>
                <c:pt idx="10">
                  <c:v>0.9736402861884274</c:v>
                </c:pt>
                <c:pt idx="11">
                  <c:v>0.9776869839851571</c:v>
                </c:pt>
                <c:pt idx="12">
                  <c:v>0.9811124397162438</c:v>
                </c:pt>
                <c:pt idx="13">
                  <c:v>0.9840120253920306</c:v>
                </c:pt>
                <c:pt idx="14">
                  <c:v>0.9864664716763387</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model!$G$40:$G$54</c:f>
              <c:numCache>
                <c:ptCount val="15"/>
                <c:pt idx="0">
                  <c:v>1.7408161322897466</c:v>
                </c:pt>
                <c:pt idx="1">
                  <c:v>1.349855453772327</c:v>
                </c:pt>
                <c:pt idx="2">
                  <c:v>1.1583919671196052</c:v>
                </c:pt>
                <c:pt idx="3">
                  <c:v>1.0644792766493198</c:v>
                </c:pt>
                <c:pt idx="4">
                  <c:v>1.0180612136131317</c:v>
                </c:pt>
                <c:pt idx="5">
                  <c:v>0.9943192387171621</c:v>
                </c:pt>
                <c:pt idx="6">
                  <c:v>0.9804768668986481</c:v>
                </c:pt>
                <c:pt idx="7">
                  <c:v>0.9690840619630494</c:v>
                </c:pt>
                <c:pt idx="8">
                  <c:v>0.9543027684484255</c:v>
                </c:pt>
                <c:pt idx="9">
                  <c:v>0.929397836864742</c:v>
                </c:pt>
                <c:pt idx="10">
                  <c:v>0.8844215222112355</c:v>
                </c:pt>
                <c:pt idx="11">
                  <c:v>0.8034100496697911</c:v>
                </c:pt>
                <c:pt idx="12">
                  <c:v>0.6605021764907223</c:v>
                </c:pt>
                <c:pt idx="13">
                  <c:v>0.4143433677024422</c:v>
                </c:pt>
                <c:pt idx="14">
                  <c:v>-5.6290314612647E-15</c:v>
                </c:pt>
              </c:numCache>
            </c:numRef>
          </c:val>
          <c:smooth val="1"/>
        </c:ser>
        <c:marker val="1"/>
        <c:axId val="27567294"/>
        <c:axId val="46779055"/>
      </c:lineChart>
      <c:catAx>
        <c:axId val="27567294"/>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46779055"/>
        <c:crossesAt val="0.6"/>
        <c:auto val="0"/>
        <c:lblOffset val="100"/>
        <c:noMultiLvlLbl val="0"/>
      </c:catAx>
      <c:valAx>
        <c:axId val="46779055"/>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27567294"/>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Activity vs. Temp</a:t>
            </a:r>
          </a:p>
        </c:rich>
      </c:tx>
      <c:layout/>
      <c:spPr>
        <a:noFill/>
        <a:ln>
          <a:noFill/>
        </a:ln>
      </c:spPr>
    </c:title>
    <c:plotArea>
      <c:layout>
        <c:manualLayout>
          <c:xMode val="edge"/>
          <c:yMode val="edge"/>
          <c:x val="0.0285"/>
          <c:y val="0.1545"/>
          <c:w val="0.7285"/>
          <c:h val="0.8142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model!$B$10:$B$32</c:f>
              <c:numCache>
                <c:ptCount val="23"/>
                <c:pt idx="0">
                  <c:v>0.026033392475581618</c:v>
                </c:pt>
                <c:pt idx="1">
                  <c:v>0.03516250237098675</c:v>
                </c:pt>
                <c:pt idx="2">
                  <c:v>0.047254237620586365</c:v>
                </c:pt>
                <c:pt idx="3">
                  <c:v>0.06314514573995718</c:v>
                </c:pt>
                <c:pt idx="4">
                  <c:v>0.08383952741751366</c:v>
                </c:pt>
                <c:pt idx="5">
                  <c:v>0.11050151107157184</c:v>
                </c:pt>
                <c:pt idx="6">
                  <c:v>0.14441316720822137</c:v>
                </c:pt>
                <c:pt idx="7">
                  <c:v>0.1868745203671293</c:v>
                </c:pt>
                <c:pt idx="8">
                  <c:v>0.21167749840458827</c:v>
                </c:pt>
                <c:pt idx="9">
                  <c:v>0.2390097749329623</c:v>
                </c:pt>
                <c:pt idx="10">
                  <c:v>0.26892918213671735</c:v>
                </c:pt>
                <c:pt idx="11">
                  <c:v>0.3014294194750199</c:v>
                </c:pt>
                <c:pt idx="12">
                  <c:v>0.33641675821420086</c:v>
                </c:pt>
                <c:pt idx="13">
                  <c:v>0.37368153445185026</c:v>
                </c:pt>
                <c:pt idx="14">
                  <c:v>0.4128637994123349</c:v>
                </c:pt>
                <c:pt idx="15">
                  <c:v>0.45341264052908836</c:v>
                </c:pt>
                <c:pt idx="16">
                  <c:v>0.5351623065207162</c:v>
                </c:pt>
                <c:pt idx="17">
                  <c:v>0.6087696575542761</c:v>
                </c:pt>
                <c:pt idx="18">
                  <c:v>0.6575539581129858</c:v>
                </c:pt>
                <c:pt idx="19">
                  <c:v>0.6569461692332786</c:v>
                </c:pt>
                <c:pt idx="20">
                  <c:v>0.5756502363164091</c:v>
                </c:pt>
                <c:pt idx="21">
                  <c:v>0.3856092136577063</c:v>
                </c:pt>
                <c:pt idx="22">
                  <c:v>0.10445142045910459</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model!$C$10:$C$32</c:f>
              <c:numCache>
                <c:ptCount val="23"/>
                <c:pt idx="0">
                  <c:v>0.022274942225081033</c:v>
                </c:pt>
                <c:pt idx="1">
                  <c:v>0.031191140622564714</c:v>
                </c:pt>
                <c:pt idx="2">
                  <c:v>0.04339463530327832</c:v>
                </c:pt>
                <c:pt idx="3">
                  <c:v>0.059934844834651356</c:v>
                </c:pt>
                <c:pt idx="4">
                  <c:v>0.08209927417929812</c:v>
                </c:pt>
                <c:pt idx="5">
                  <c:v>0.11140464833839696</c:v>
                </c:pt>
                <c:pt idx="6">
                  <c:v>0.1495341390488712</c:v>
                </c:pt>
                <c:pt idx="7">
                  <c:v>0.19818069643937608</c:v>
                </c:pt>
                <c:pt idx="8">
                  <c:v>0.22690802203180424</c:v>
                </c:pt>
                <c:pt idx="9">
                  <c:v>0.2587387463208357</c:v>
                </c:pt>
                <c:pt idx="10">
                  <c:v>0.29371272047807206</c:v>
                </c:pt>
                <c:pt idx="11">
                  <c:v>0.3317672780642811</c:v>
                </c:pt>
                <c:pt idx="12">
                  <c:v>0.3727015541005194</c:v>
                </c:pt>
                <c:pt idx="13">
                  <c:v>0.416133949349657</c:v>
                </c:pt>
                <c:pt idx="14">
                  <c:v>0.46145270847606384</c:v>
                </c:pt>
                <c:pt idx="15">
                  <c:v>0.5077602933186129</c:v>
                </c:pt>
                <c:pt idx="16">
                  <c:v>0.5979621058385518</c:v>
                </c:pt>
                <c:pt idx="17">
                  <c:v>0.6715987026686902</c:v>
                </c:pt>
                <c:pt idx="18">
                  <c:v>0.7057734006600332</c:v>
                </c:pt>
                <c:pt idx="19">
                  <c:v>0.6709831478714624</c:v>
                </c:pt>
                <c:pt idx="20">
                  <c:v>0.5390102800771949</c:v>
                </c:pt>
                <c:pt idx="21">
                  <c:v>0.3066844578108128</c:v>
                </c:pt>
                <c:pt idx="22">
                  <c:v>0.054551464827378965</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model!$E$10:$E$32</c:f>
              <c:numCache>
                <c:ptCount val="23"/>
                <c:pt idx="0">
                  <c:v>0.008273479836737395</c:v>
                </c:pt>
                <c:pt idx="1">
                  <c:v>0.013351995740530294</c:v>
                </c:pt>
                <c:pt idx="2">
                  <c:v>0.021263630338617966</c:v>
                </c:pt>
                <c:pt idx="3">
                  <c:v>0.03335081642104101</c:v>
                </c:pt>
                <c:pt idx="4">
                  <c:v>0.051391610581366466</c:v>
                </c:pt>
                <c:pt idx="5">
                  <c:v>0.07756327276735991</c:v>
                </c:pt>
                <c:pt idx="6">
                  <c:v>0.11420263609229697</c:v>
                </c:pt>
                <c:pt idx="7">
                  <c:v>0.16318665737374582</c:v>
                </c:pt>
                <c:pt idx="8">
                  <c:v>0.1924825405634052</c:v>
                </c:pt>
                <c:pt idx="9">
                  <c:v>0.22470388159491256</c:v>
                </c:pt>
                <c:pt idx="10">
                  <c:v>0.2592762568699502</c:v>
                </c:pt>
                <c:pt idx="11">
                  <c:v>0.29522163289149606</c:v>
                </c:pt>
                <c:pt idx="12">
                  <c:v>0.3310636017444244</c:v>
                </c:pt>
                <c:pt idx="13">
                  <c:v>0.3647467202652246</c:v>
                </c:pt>
                <c:pt idx="14">
                  <c:v>0.39359492875047725</c:v>
                </c:pt>
                <c:pt idx="15">
                  <c:v>0.41434652259514065</c:v>
                </c:pt>
                <c:pt idx="16">
                  <c:v>0.4167604967009479</c:v>
                </c:pt>
                <c:pt idx="17">
                  <c:v>0.345824510180368</c:v>
                </c:pt>
                <c:pt idx="18">
                  <c:v>0.20199439775073996</c:v>
                </c:pt>
                <c:pt idx="19">
                  <c:v>0.05004728296430462</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model!$D$10:$D$32</c:f>
              <c:numCache>
                <c:ptCount val="23"/>
                <c:pt idx="0">
                  <c:v>0.024421972484165805</c:v>
                </c:pt>
                <c:pt idx="1">
                  <c:v>0.03355668167098966</c:v>
                </c:pt>
                <c:pt idx="2">
                  <c:v>0.04584495336030147</c:v>
                </c:pt>
                <c:pt idx="3">
                  <c:v>0.0622310766423552</c:v>
                </c:pt>
                <c:pt idx="4">
                  <c:v>0.08385965217747185</c:v>
                </c:pt>
                <c:pt idx="5">
                  <c:v>0.11206638367646908</c:v>
                </c:pt>
                <c:pt idx="6">
                  <c:v>0.14832555962760008</c:v>
                </c:pt>
                <c:pt idx="7">
                  <c:v>0.19412295937022064</c:v>
                </c:pt>
                <c:pt idx="8">
                  <c:v>0.22100850500827504</c:v>
                </c:pt>
                <c:pt idx="9">
                  <c:v>0.25070856216599613</c:v>
                </c:pt>
                <c:pt idx="10">
                  <c:v>0.28327222761626714</c:v>
                </c:pt>
                <c:pt idx="11">
                  <c:v>0.31866650120175777</c:v>
                </c:pt>
                <c:pt idx="12">
                  <c:v>0.35674722148552185</c:v>
                </c:pt>
                <c:pt idx="13">
                  <c:v>0.39722395646130076</c:v>
                </c:pt>
                <c:pt idx="14">
                  <c:v>0.4396184341292044</c:v>
                </c:pt>
                <c:pt idx="15">
                  <c:v>0.4832164759072209</c:v>
                </c:pt>
                <c:pt idx="16">
                  <c:v>0.5696591885366408</c:v>
                </c:pt>
                <c:pt idx="17">
                  <c:v>0.6439967110317067</c:v>
                </c:pt>
                <c:pt idx="18">
                  <c:v>0.686440741633487</c:v>
                </c:pt>
                <c:pt idx="19">
                  <c:v>0.6696262041517042</c:v>
                </c:pt>
                <c:pt idx="20">
                  <c:v>0.5627825045758668</c:v>
                </c:pt>
                <c:pt idx="21">
                  <c:v>0.3486081098145087</c:v>
                </c:pt>
                <c:pt idx="22">
                  <c:v>0.07719825796844428</c:v>
                </c:pt>
              </c:numCache>
            </c:numRef>
          </c:val>
          <c:smooth val="0"/>
        </c:ser>
        <c:marker val="1"/>
        <c:axId val="18358312"/>
        <c:axId val="31007081"/>
      </c:lineChart>
      <c:catAx>
        <c:axId val="18358312"/>
        <c:scaling>
          <c:orientation val="minMax"/>
        </c:scaling>
        <c:axPos val="b"/>
        <c:delete val="0"/>
        <c:numFmt formatCode="General" sourceLinked="1"/>
        <c:majorTickMark val="out"/>
        <c:minorTickMark val="none"/>
        <c:tickLblPos val="nextTo"/>
        <c:crossAx val="31007081"/>
        <c:crosses val="autoZero"/>
        <c:auto val="1"/>
        <c:lblOffset val="100"/>
        <c:noMultiLvlLbl val="0"/>
      </c:catAx>
      <c:valAx>
        <c:axId val="31007081"/>
        <c:scaling>
          <c:orientation val="minMax"/>
        </c:scaling>
        <c:axPos val="l"/>
        <c:majorGridlines/>
        <c:delete val="0"/>
        <c:numFmt formatCode="General" sourceLinked="1"/>
        <c:majorTickMark val="out"/>
        <c:minorTickMark val="none"/>
        <c:tickLblPos val="nextTo"/>
        <c:crossAx val="18358312"/>
        <c:crossesAt val="1"/>
        <c:crossBetween val="between"/>
        <c:dispUnits/>
      </c:valAx>
      <c:spPr>
        <a:solidFill>
          <a:srgbClr val="C0C0C0"/>
        </a:solidFill>
        <a:ln w="12700">
          <a:solidFill>
            <a:srgbClr val="808080"/>
          </a:solidFill>
        </a:ln>
      </c:spPr>
    </c:plotArea>
    <c:legend>
      <c:legendPos val="r"/>
      <c:layout>
        <c:manualLayout>
          <c:xMode val="edge"/>
          <c:yMode val="edge"/>
          <c:x val="0.7885"/>
          <c:y val="0.33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39"/>
          <c:w val="0.72775"/>
          <c:h val="0.9297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model!$B$10:$B$32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model!$C$10:$C$32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model!$E$10:$E$32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model!$D$10:$D$32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10628274"/>
        <c:axId val="28545603"/>
      </c:lineChart>
      <c:catAx>
        <c:axId val="10628274"/>
        <c:scaling>
          <c:orientation val="minMax"/>
        </c:scaling>
        <c:axPos val="b"/>
        <c:delete val="0"/>
        <c:numFmt formatCode="General" sourceLinked="1"/>
        <c:majorTickMark val="out"/>
        <c:minorTickMark val="none"/>
        <c:tickLblPos val="nextTo"/>
        <c:crossAx val="28545603"/>
        <c:crosses val="autoZero"/>
        <c:auto val="1"/>
        <c:lblOffset val="100"/>
        <c:noMultiLvlLbl val="0"/>
      </c:catAx>
      <c:valAx>
        <c:axId val="28545603"/>
        <c:scaling>
          <c:orientation val="minMax"/>
        </c:scaling>
        <c:axPos val="l"/>
        <c:majorGridlines/>
        <c:delete val="0"/>
        <c:numFmt formatCode="General" sourceLinked="1"/>
        <c:majorTickMark val="out"/>
        <c:minorTickMark val="none"/>
        <c:tickLblPos val="nextTo"/>
        <c:crossAx val="10628274"/>
        <c:crossesAt val="1"/>
        <c:crossBetween val="between"/>
        <c:dispUnits/>
      </c:valAx>
      <c:spPr>
        <a:solidFill>
          <a:srgbClr val="C0C0C0"/>
        </a:solidFill>
        <a:ln w="12700">
          <a:solidFill>
            <a:srgbClr val="808080"/>
          </a:solidFill>
        </a:ln>
      </c:spPr>
    </c:plotArea>
    <c:legend>
      <c:legendPos val="r"/>
      <c:layout>
        <c:manualLayout>
          <c:xMode val="edge"/>
          <c:yMode val="edge"/>
          <c:x val="0.788"/>
          <c:y val="0.336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model!$B$40:$B$54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model!$G$40:$G$54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marker val="1"/>
        <c:axId val="55583836"/>
        <c:axId val="30492477"/>
      </c:lineChart>
      <c:catAx>
        <c:axId val="55583836"/>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30492477"/>
        <c:crossesAt val="0.6"/>
        <c:auto val="0"/>
        <c:lblOffset val="100"/>
        <c:noMultiLvlLbl val="0"/>
      </c:catAx>
      <c:valAx>
        <c:axId val="30492477"/>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55583836"/>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model!$D$40:$D$54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model!$H$40:$H$54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5996838"/>
        <c:axId val="53971543"/>
      </c:lineChart>
      <c:catAx>
        <c:axId val="5996838"/>
        <c:scaling>
          <c:orientation val="minMax"/>
        </c:scaling>
        <c:axPos val="b"/>
        <c:delete val="0"/>
        <c:numFmt formatCode="General" sourceLinked="1"/>
        <c:majorTickMark val="out"/>
        <c:minorTickMark val="none"/>
        <c:tickLblPos val="nextTo"/>
        <c:crossAx val="53971543"/>
        <c:crossesAt val="0.6"/>
        <c:auto val="1"/>
        <c:lblOffset val="100"/>
        <c:noMultiLvlLbl val="0"/>
      </c:catAx>
      <c:valAx>
        <c:axId val="53971543"/>
        <c:scaling>
          <c:orientation val="minMax"/>
          <c:min val="0.6"/>
        </c:scaling>
        <c:axPos val="l"/>
        <c:majorGridlines/>
        <c:delete val="0"/>
        <c:numFmt formatCode="General" sourceLinked="1"/>
        <c:majorTickMark val="out"/>
        <c:minorTickMark val="none"/>
        <c:tickLblPos val="nextTo"/>
        <c:crossAx val="5996838"/>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model!$F$40:$F$60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model!$I$40:$I$60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15981840"/>
        <c:axId val="9618833"/>
      </c:lineChart>
      <c:catAx>
        <c:axId val="15981840"/>
        <c:scaling>
          <c:orientation val="minMax"/>
        </c:scaling>
        <c:axPos val="b"/>
        <c:delete val="0"/>
        <c:numFmt formatCode="General" sourceLinked="1"/>
        <c:majorTickMark val="out"/>
        <c:minorTickMark val="none"/>
        <c:tickLblPos val="nextTo"/>
        <c:crossAx val="9618833"/>
        <c:crossesAt val="0.4"/>
        <c:auto val="1"/>
        <c:lblOffset val="100"/>
        <c:noMultiLvlLbl val="0"/>
      </c:catAx>
      <c:valAx>
        <c:axId val="9618833"/>
        <c:scaling>
          <c:orientation val="minMax"/>
          <c:min val="0.4"/>
        </c:scaling>
        <c:axPos val="l"/>
        <c:majorGridlines/>
        <c:delete val="0"/>
        <c:numFmt formatCode="General" sourceLinked="1"/>
        <c:majorTickMark val="out"/>
        <c:minorTickMark val="none"/>
        <c:tickLblPos val="nextTo"/>
        <c:crossAx val="159818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5</xdr:col>
      <xdr:colOff>581025</xdr:colOff>
      <xdr:row>34</xdr:row>
      <xdr:rowOff>76200</xdr:rowOff>
    </xdr:to>
    <xdr:graphicFrame>
      <xdr:nvGraphicFramePr>
        <xdr:cNvPr id="1" name="Chart 1"/>
        <xdr:cNvGraphicFramePr/>
      </xdr:nvGraphicFramePr>
      <xdr:xfrm>
        <a:off x="0" y="2952750"/>
        <a:ext cx="3629025" cy="2628900"/>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xdr:row>
      <xdr:rowOff>123825</xdr:rowOff>
    </xdr:from>
    <xdr:to>
      <xdr:col>16</xdr:col>
      <xdr:colOff>476250</xdr:colOff>
      <xdr:row>23</xdr:row>
      <xdr:rowOff>9525</xdr:rowOff>
    </xdr:to>
    <xdr:graphicFrame>
      <xdr:nvGraphicFramePr>
        <xdr:cNvPr id="2" name="Chart 2"/>
        <xdr:cNvGraphicFramePr/>
      </xdr:nvGraphicFramePr>
      <xdr:xfrm>
        <a:off x="7639050" y="447675"/>
        <a:ext cx="2590800" cy="3286125"/>
      </xdr:xfrm>
      <a:graphic>
        <a:graphicData uri="http://schemas.openxmlformats.org/drawingml/2006/chart">
          <c:chart xmlns:c="http://schemas.openxmlformats.org/drawingml/2006/chart" r:id="rId2"/>
        </a:graphicData>
      </a:graphic>
    </xdr:graphicFrame>
    <xdr:clientData/>
  </xdr:twoCellAnchor>
  <xdr:twoCellAnchor>
    <xdr:from>
      <xdr:col>6</xdr:col>
      <xdr:colOff>38100</xdr:colOff>
      <xdr:row>1</xdr:row>
      <xdr:rowOff>47625</xdr:rowOff>
    </xdr:from>
    <xdr:to>
      <xdr:col>12</xdr:col>
      <xdr:colOff>219075</xdr:colOff>
      <xdr:row>16</xdr:row>
      <xdr:rowOff>95250</xdr:rowOff>
    </xdr:to>
    <xdr:graphicFrame>
      <xdr:nvGraphicFramePr>
        <xdr:cNvPr id="3" name="Chart 3"/>
        <xdr:cNvGraphicFramePr/>
      </xdr:nvGraphicFramePr>
      <xdr:xfrm>
        <a:off x="3695700" y="209550"/>
        <a:ext cx="3838575" cy="2476500"/>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16</xdr:row>
      <xdr:rowOff>123825</xdr:rowOff>
    </xdr:from>
    <xdr:to>
      <xdr:col>12</xdr:col>
      <xdr:colOff>228600</xdr:colOff>
      <xdr:row>32</xdr:row>
      <xdr:rowOff>38100</xdr:rowOff>
    </xdr:to>
    <xdr:graphicFrame>
      <xdr:nvGraphicFramePr>
        <xdr:cNvPr id="4" name="Chart 4"/>
        <xdr:cNvGraphicFramePr/>
      </xdr:nvGraphicFramePr>
      <xdr:xfrm>
        <a:off x="3743325" y="2714625"/>
        <a:ext cx="3800475" cy="25050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0</xdr:row>
      <xdr:rowOff>57150</xdr:rowOff>
    </xdr:from>
    <xdr:to>
      <xdr:col>5</xdr:col>
      <xdr:colOff>419100</xdr:colOff>
      <xdr:row>17</xdr:row>
      <xdr:rowOff>114300</xdr:rowOff>
    </xdr:to>
    <xdr:graphicFrame>
      <xdr:nvGraphicFramePr>
        <xdr:cNvPr id="5" name="Chart 5"/>
        <xdr:cNvGraphicFramePr/>
      </xdr:nvGraphicFramePr>
      <xdr:xfrm>
        <a:off x="47625" y="57150"/>
        <a:ext cx="3419475" cy="2809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49</xdr:row>
      <xdr:rowOff>0</xdr:rowOff>
    </xdr:from>
    <xdr:to>
      <xdr:col>14</xdr:col>
      <xdr:colOff>438150</xdr:colOff>
      <xdr:row>66</xdr:row>
      <xdr:rowOff>47625</xdr:rowOff>
    </xdr:to>
    <xdr:graphicFrame>
      <xdr:nvGraphicFramePr>
        <xdr:cNvPr id="1" name="Chart 1"/>
        <xdr:cNvGraphicFramePr/>
      </xdr:nvGraphicFramePr>
      <xdr:xfrm>
        <a:off x="6343650" y="7934325"/>
        <a:ext cx="3409950" cy="2800350"/>
      </xdr:xfrm>
      <a:graphic>
        <a:graphicData uri="http://schemas.openxmlformats.org/drawingml/2006/chart">
          <c:chart xmlns:c="http://schemas.openxmlformats.org/drawingml/2006/chart" r:id="rId1"/>
        </a:graphicData>
      </a:graphic>
    </xdr:graphicFrame>
    <xdr:clientData/>
  </xdr:twoCellAnchor>
  <xdr:twoCellAnchor>
    <xdr:from>
      <xdr:col>8</xdr:col>
      <xdr:colOff>285750</xdr:colOff>
      <xdr:row>49</xdr:row>
      <xdr:rowOff>133350</xdr:rowOff>
    </xdr:from>
    <xdr:to>
      <xdr:col>13</xdr:col>
      <xdr:colOff>809625</xdr:colOff>
      <xdr:row>66</xdr:row>
      <xdr:rowOff>38100</xdr:rowOff>
    </xdr:to>
    <xdr:graphicFrame>
      <xdr:nvGraphicFramePr>
        <xdr:cNvPr id="2" name="Chart 5"/>
        <xdr:cNvGraphicFramePr/>
      </xdr:nvGraphicFramePr>
      <xdr:xfrm>
        <a:off x="5162550" y="8067675"/>
        <a:ext cx="3924300" cy="2657475"/>
      </xdr:xfrm>
      <a:graphic>
        <a:graphicData uri="http://schemas.openxmlformats.org/drawingml/2006/chart">
          <c:chart xmlns:c="http://schemas.openxmlformats.org/drawingml/2006/chart" r:id="rId2"/>
        </a:graphicData>
      </a:graphic>
    </xdr:graphicFrame>
    <xdr:clientData/>
  </xdr:twoCellAnchor>
  <xdr:twoCellAnchor>
    <xdr:from>
      <xdr:col>8</xdr:col>
      <xdr:colOff>647700</xdr:colOff>
      <xdr:row>45</xdr:row>
      <xdr:rowOff>66675</xdr:rowOff>
    </xdr:from>
    <xdr:to>
      <xdr:col>14</xdr:col>
      <xdr:colOff>38100</xdr:colOff>
      <xdr:row>60</xdr:row>
      <xdr:rowOff>104775</xdr:rowOff>
    </xdr:to>
    <xdr:graphicFrame>
      <xdr:nvGraphicFramePr>
        <xdr:cNvPr id="3" name="Chart 6"/>
        <xdr:cNvGraphicFramePr/>
      </xdr:nvGraphicFramePr>
      <xdr:xfrm>
        <a:off x="5524500" y="7353300"/>
        <a:ext cx="3829050" cy="2466975"/>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45</xdr:row>
      <xdr:rowOff>142875</xdr:rowOff>
    </xdr:from>
    <xdr:to>
      <xdr:col>8</xdr:col>
      <xdr:colOff>666750</xdr:colOff>
      <xdr:row>60</xdr:row>
      <xdr:rowOff>9525</xdr:rowOff>
    </xdr:to>
    <xdr:graphicFrame>
      <xdr:nvGraphicFramePr>
        <xdr:cNvPr id="4" name="Chart 7"/>
        <xdr:cNvGraphicFramePr/>
      </xdr:nvGraphicFramePr>
      <xdr:xfrm>
        <a:off x="2000250" y="7429500"/>
        <a:ext cx="3543300" cy="2295525"/>
      </xdr:xfrm>
      <a:graphic>
        <a:graphicData uri="http://schemas.openxmlformats.org/drawingml/2006/chart">
          <c:chart xmlns:c="http://schemas.openxmlformats.org/drawingml/2006/chart" r:id="rId4"/>
        </a:graphicData>
      </a:graphic>
    </xdr:graphicFrame>
    <xdr:clientData/>
  </xdr:twoCellAnchor>
  <xdr:twoCellAnchor>
    <xdr:from>
      <xdr:col>0</xdr:col>
      <xdr:colOff>304800</xdr:colOff>
      <xdr:row>55</xdr:row>
      <xdr:rowOff>76200</xdr:rowOff>
    </xdr:from>
    <xdr:to>
      <xdr:col>7</xdr:col>
      <xdr:colOff>323850</xdr:colOff>
      <xdr:row>71</xdr:row>
      <xdr:rowOff>104775</xdr:rowOff>
    </xdr:to>
    <xdr:graphicFrame>
      <xdr:nvGraphicFramePr>
        <xdr:cNvPr id="5" name="Chart 8"/>
        <xdr:cNvGraphicFramePr/>
      </xdr:nvGraphicFramePr>
      <xdr:xfrm>
        <a:off x="304800" y="8982075"/>
        <a:ext cx="4286250" cy="2619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34"/>
  <sheetViews>
    <sheetView workbookViewId="0" topLeftCell="A1">
      <selection activeCell="B20" sqref="B20"/>
    </sheetView>
  </sheetViews>
  <sheetFormatPr defaultColWidth="9.140625" defaultRowHeight="12.75"/>
  <cols>
    <col min="1" max="1" width="24.57421875" style="0" customWidth="1"/>
    <col min="2" max="2" width="10.57421875" style="0" customWidth="1"/>
    <col min="4" max="4" width="19.28125" style="0" customWidth="1"/>
    <col min="5" max="5" width="13.00390625" style="0" customWidth="1"/>
    <col min="6" max="6" width="18.8515625" style="0" customWidth="1"/>
    <col min="7" max="7" width="22.00390625" style="0" customWidth="1"/>
    <col min="8" max="8" width="18.7109375" style="0" customWidth="1"/>
    <col min="9" max="9" width="11.8515625" style="0" customWidth="1"/>
    <col min="10" max="10" width="10.8515625" style="0" customWidth="1"/>
    <col min="11" max="11" width="13.140625" style="0" customWidth="1"/>
  </cols>
  <sheetData>
    <row r="1" ht="12.75">
      <c r="B1" t="s">
        <v>89</v>
      </c>
    </row>
    <row r="2" ht="12.75">
      <c r="A2" t="s">
        <v>79</v>
      </c>
    </row>
    <row r="3" ht="12.75">
      <c r="C3" t="s">
        <v>53</v>
      </c>
    </row>
    <row r="4" spans="1:5" ht="12.75">
      <c r="A4" t="s">
        <v>128</v>
      </c>
      <c r="B4" s="34">
        <v>0.0269</v>
      </c>
      <c r="D4" t="s">
        <v>123</v>
      </c>
      <c r="E4" s="6">
        <f>'bread calc'!E13</f>
        <v>0.02688714122470928</v>
      </c>
    </row>
    <row r="5" spans="1:2" ht="12.75">
      <c r="A5" t="s">
        <v>49</v>
      </c>
      <c r="B5" s="34">
        <v>0</v>
      </c>
    </row>
    <row r="6" spans="1:8" ht="12.75">
      <c r="A6" t="s">
        <v>10</v>
      </c>
      <c r="B6" s="34">
        <v>0.7</v>
      </c>
      <c r="D6" t="s">
        <v>124</v>
      </c>
      <c r="E6" s="6">
        <f>'bread calc'!E14</f>
        <v>0.75</v>
      </c>
      <c r="H6" s="9" t="s">
        <v>41</v>
      </c>
    </row>
    <row r="7" spans="1:8" ht="12.75">
      <c r="A7" t="s">
        <v>131</v>
      </c>
      <c r="B7" s="14">
        <v>76</v>
      </c>
      <c r="C7" s="1">
        <f>(B7+40)*5/9-40</f>
        <v>24.444444444444443</v>
      </c>
      <c r="G7" t="s">
        <v>138</v>
      </c>
      <c r="H7" s="33">
        <v>0.96875</v>
      </c>
    </row>
    <row r="8" spans="1:8" ht="12.75">
      <c r="A8" t="s">
        <v>134</v>
      </c>
      <c r="B8" s="15">
        <v>1.4</v>
      </c>
      <c r="D8" t="s">
        <v>85</v>
      </c>
      <c r="E8" s="1">
        <f>LN(1/(B4*model!Z17))/uall_ave(C7,B6,B5,B8,B4*model!AA17)</f>
        <v>7.02131108038763</v>
      </c>
      <c r="G8" t="s">
        <v>139</v>
      </c>
      <c r="H8" s="8">
        <f>H7+E8/24</f>
        <v>1.2613046283494846</v>
      </c>
    </row>
    <row r="9" spans="1:8" ht="12.75">
      <c r="A9" t="s">
        <v>82</v>
      </c>
      <c r="B9" s="16">
        <v>3.5</v>
      </c>
      <c r="D9" t="s">
        <v>84</v>
      </c>
      <c r="E9" s="1">
        <f>LN(B9/(B4*model!Z17))/urise_ave(C7,B6,B5,B8,B4*model!AA17)</f>
        <v>9.221240254781494</v>
      </c>
      <c r="G9" t="s">
        <v>140</v>
      </c>
      <c r="H9" s="8">
        <f>H7+E9/24</f>
        <v>1.3529683439492288</v>
      </c>
    </row>
    <row r="10" ht="12.75">
      <c r="E10" s="1"/>
    </row>
    <row r="11" spans="1:5" ht="12.75">
      <c r="A11" t="s">
        <v>80</v>
      </c>
      <c r="E11" s="1"/>
    </row>
    <row r="12" ht="12.75">
      <c r="E12" s="1"/>
    </row>
    <row r="13" spans="1:5" ht="12.75">
      <c r="A13" t="s">
        <v>78</v>
      </c>
      <c r="B13" s="34">
        <v>0.2175</v>
      </c>
      <c r="D13" t="s">
        <v>123</v>
      </c>
      <c r="E13" s="6">
        <f>'bread calc'!D40</f>
        <v>0.2175</v>
      </c>
    </row>
    <row r="14" spans="1:5" ht="12.75">
      <c r="A14" t="s">
        <v>49</v>
      </c>
      <c r="B14" s="34">
        <v>0.019</v>
      </c>
      <c r="D14" t="s">
        <v>125</v>
      </c>
      <c r="E14" s="6">
        <f>'bread calc'!D36</f>
        <v>0.019</v>
      </c>
    </row>
    <row r="15" spans="1:5" ht="12.75">
      <c r="A15" t="s">
        <v>10</v>
      </c>
      <c r="B15" s="34">
        <v>0.72</v>
      </c>
      <c r="D15" t="s">
        <v>124</v>
      </c>
      <c r="E15" s="6">
        <f>'bread calc'!D38</f>
        <v>0.77</v>
      </c>
    </row>
    <row r="16" spans="1:8" ht="12.75">
      <c r="A16" t="s">
        <v>132</v>
      </c>
      <c r="B16" s="14">
        <v>75</v>
      </c>
      <c r="C16" s="1">
        <f>(B16+40)*5/9-40</f>
        <v>23.888888888888886</v>
      </c>
      <c r="E16" s="1"/>
      <c r="H16" s="9" t="s">
        <v>41</v>
      </c>
    </row>
    <row r="17" spans="1:8" ht="12.75">
      <c r="A17" t="s">
        <v>133</v>
      </c>
      <c r="B17" s="14">
        <v>77</v>
      </c>
      <c r="C17" s="1">
        <f>(B17+40)*5/9-40</f>
        <v>25</v>
      </c>
      <c r="D17" t="s">
        <v>85</v>
      </c>
      <c r="E17" s="13">
        <f>LN(1/(B13*model!Z17))/uall_ave(C16,B15,B14,B18,B13*model!AA17)</f>
        <v>4.025109424791451</v>
      </c>
      <c r="G17" t="s">
        <v>141</v>
      </c>
      <c r="H17" s="35">
        <v>0.3645833333333333</v>
      </c>
    </row>
    <row r="18" spans="1:8" ht="12.75">
      <c r="A18" t="s">
        <v>135</v>
      </c>
      <c r="B18" s="15">
        <v>1.4</v>
      </c>
      <c r="D18" t="s">
        <v>86</v>
      </c>
      <c r="E18" s="13">
        <f>LN(B20/(B13*model!Z17))/urise_ave(C16,B15,B14,B18,B13*model!AA17)</f>
        <v>3.3950969458453044</v>
      </c>
      <c r="G18" t="s">
        <v>142</v>
      </c>
      <c r="H18" s="8">
        <f>H17+E18/24</f>
        <v>0.5060457060768877</v>
      </c>
    </row>
    <row r="19" spans="1:8" ht="12.75">
      <c r="A19" t="s">
        <v>83</v>
      </c>
      <c r="B19" s="16">
        <v>2.3</v>
      </c>
      <c r="D19" t="s">
        <v>87</v>
      </c>
      <c r="E19" s="13">
        <f>LN(B19/B20)/urise_ave(C17,B15,B14,B18,B13*model!AA17)</f>
        <v>2.372559209627606</v>
      </c>
      <c r="G19" t="s">
        <v>143</v>
      </c>
      <c r="H19" s="8">
        <f>H18+E19/24</f>
        <v>0.6049023398113713</v>
      </c>
    </row>
    <row r="20" spans="1:5" ht="12.75">
      <c r="A20" t="s">
        <v>88</v>
      </c>
      <c r="B20" s="16">
        <v>0.82</v>
      </c>
      <c r="D20" t="s">
        <v>127</v>
      </c>
      <c r="E20" s="13">
        <f>E18+E19</f>
        <v>5.76765615547291</v>
      </c>
    </row>
    <row r="22" spans="6:8" ht="12.75">
      <c r="F22" t="s">
        <v>137</v>
      </c>
      <c r="G22" t="s">
        <v>137</v>
      </c>
      <c r="H22" t="s">
        <v>137</v>
      </c>
    </row>
    <row r="23" spans="1:11" ht="12.75">
      <c r="A23" t="s">
        <v>81</v>
      </c>
      <c r="B23" s="9" t="s">
        <v>126</v>
      </c>
      <c r="C23" s="9" t="s">
        <v>52</v>
      </c>
      <c r="D23" s="9" t="s">
        <v>53</v>
      </c>
      <c r="E23" s="9" t="s">
        <v>49</v>
      </c>
      <c r="F23" s="9" t="s">
        <v>90</v>
      </c>
      <c r="G23" s="9" t="s">
        <v>91</v>
      </c>
      <c r="H23" s="9" t="s">
        <v>92</v>
      </c>
      <c r="I23" s="9" t="s">
        <v>93</v>
      </c>
      <c r="J23" s="9" t="s">
        <v>94</v>
      </c>
      <c r="K23" s="9" t="s">
        <v>95</v>
      </c>
    </row>
    <row r="24" spans="1:2" ht="12.75">
      <c r="A24" t="s">
        <v>161</v>
      </c>
      <c r="B24" s="33">
        <v>0.3645833333333333</v>
      </c>
    </row>
    <row r="25" spans="1:11" ht="12.75">
      <c r="A25" s="8">
        <f>B24+B25/24</f>
        <v>0.38541666666666663</v>
      </c>
      <c r="B25" s="17">
        <v>0.5</v>
      </c>
      <c r="C25" s="17">
        <v>69</v>
      </c>
      <c r="D25" s="1">
        <f aca="true" t="shared" si="0" ref="D25:D31">(C25+40)*5/9-40</f>
        <v>20.555555555555557</v>
      </c>
      <c r="E25" s="17">
        <v>0</v>
      </c>
      <c r="F25" s="13">
        <f>EXP(SUMPRODUCT($B$25,$I$25))*$B$13*model!$Z$17</f>
        <v>0.25144493169451654</v>
      </c>
      <c r="G25" s="13">
        <f>EXP(SUMPRODUCT($B$25,$J$25))*$B$13*model!$Z$17</f>
        <v>0.2545409267696184</v>
      </c>
      <c r="H25" s="13">
        <f>EXP(SUMPRODUCT($B$25,$K$25))*$B$13*model!$Z$17</f>
        <v>0.24838659337515415</v>
      </c>
      <c r="I25" s="13">
        <f>urise_ave(D25,$B$15,$B$14*E25,$B$18,$B$13*model!$AA$17)</f>
        <v>0.31015098284858006</v>
      </c>
      <c r="J25" s="13">
        <f>urise_lb(D25,$B$15,$B$14*E25,$B$18,$B$13*model!$AA$17)</f>
        <v>0.3346262416813992</v>
      </c>
      <c r="K25" s="13">
        <f>urise_y(D25,$B$15,$B$14*E25,$B$18,$B$13*model!$AA$17)</f>
        <v>0.28567572401576097</v>
      </c>
    </row>
    <row r="26" spans="1:11" ht="12.75">
      <c r="A26" s="8">
        <f aca="true" t="shared" si="1" ref="A26:A31">A25+B26/24</f>
        <v>0.4270833333333333</v>
      </c>
      <c r="B26" s="17">
        <v>1</v>
      </c>
      <c r="C26" s="17">
        <v>73</v>
      </c>
      <c r="D26" s="1">
        <f t="shared" si="0"/>
        <v>22.77777777777778</v>
      </c>
      <c r="E26" s="17">
        <v>1</v>
      </c>
      <c r="F26" s="13">
        <f>EXP(SUMPRODUCT($B$25:$B26,$I$25:$I26))*$B$13*model!$Z$17</f>
        <v>0.357282619968588</v>
      </c>
      <c r="G26" s="13">
        <f>EXP(SUMPRODUCT($B$25:$B26,$J$25:$J26))*$B$13*model!$Z$17</f>
        <v>0.36994447100155853</v>
      </c>
      <c r="H26" s="13">
        <f>EXP(SUMPRODUCT($B$25:$B26,$K$25:$K26))*$B$13*model!$Z$17</f>
        <v>0.34505413795218126</v>
      </c>
      <c r="I26" s="13">
        <f>urise_ave(D26,$B$15,$B$14*E26,$B$18,$B$13*model!$AA$17)</f>
        <v>0.35130311506157086</v>
      </c>
      <c r="J26" s="13">
        <f>urise_lb(D26,$B$15,$B$14*E26,$B$18,$B$13*model!$AA$17)</f>
        <v>0.373891280485281</v>
      </c>
      <c r="K26" s="13">
        <f>urise_y(D26,$B$15,$B$14*E26,$B$18,$B$13*model!$AA$17)</f>
        <v>0.32871494963786074</v>
      </c>
    </row>
    <row r="27" spans="1:11" ht="12.75">
      <c r="A27" s="8">
        <f t="shared" si="1"/>
        <v>0.46875</v>
      </c>
      <c r="B27" s="17">
        <v>1</v>
      </c>
      <c r="C27" s="17">
        <v>74.5</v>
      </c>
      <c r="D27" s="1">
        <f t="shared" si="0"/>
        <v>23.611111111111114</v>
      </c>
      <c r="E27" s="17">
        <v>1</v>
      </c>
      <c r="F27" s="13">
        <f>EXP(SUMPRODUCT($B$25:$B27,$I$25:$I27))*$B$13*model!$Z$17</f>
        <v>0.5241635766833451</v>
      </c>
      <c r="G27" s="13">
        <f>EXP(SUMPRODUCT($B$25:$B27,$J$25:$J27))*$B$13*model!$Z$17</f>
        <v>0.5565969156022779</v>
      </c>
      <c r="H27" s="13">
        <f>EXP(SUMPRODUCT($B$25:$B27,$K$25:$K27))*$B$13*model!$Z$17</f>
        <v>0.49362015386696956</v>
      </c>
      <c r="I27" s="13">
        <f>urise_ave(D27,$B$15,$B$14*E27,$B$18,$B$13*model!$AA$17)</f>
        <v>0.3832766836882887</v>
      </c>
      <c r="J27" s="13">
        <f>urise_lb(D27,$B$15,$B$14*E27,$B$18,$B$13*model!$AA$17)</f>
        <v>0.4084883915773345</v>
      </c>
      <c r="K27" s="13">
        <f>urise_y(D27,$B$15,$B$14*E27,$B$18,$B$13*model!$AA$17)</f>
        <v>0.35806497579924296</v>
      </c>
    </row>
    <row r="28" spans="1:11" ht="12.75">
      <c r="A28" s="8">
        <f t="shared" si="1"/>
        <v>0.5145833333333334</v>
      </c>
      <c r="B28" s="17">
        <v>1.1</v>
      </c>
      <c r="C28" s="17">
        <v>75</v>
      </c>
      <c r="D28" s="1">
        <f t="shared" si="0"/>
        <v>23.888888888888886</v>
      </c>
      <c r="E28" s="17">
        <v>1</v>
      </c>
      <c r="F28" s="13">
        <f>EXP(SUMPRODUCT($B$25:$B28,$I$25:$I28))*$B$13*model!$Z$17</f>
        <v>0.8083844892260362</v>
      </c>
      <c r="G28" s="13">
        <f>EXP(SUMPRODUCT($B$25:$B28,$J$25:$J28))*$B$13*model!$Z$17</f>
        <v>0.8837961960241514</v>
      </c>
      <c r="H28" s="13">
        <f>EXP(SUMPRODUCT($B$25:$B28,$K$25:$K28))*$B$13*model!$Z$17</f>
        <v>0.7394074395895928</v>
      </c>
      <c r="I28" s="13">
        <f>urise_ave(D28,$B$15,$B$14*E28,$B$18,$B$13*model!$AA$17)</f>
        <v>0.3938490849928113</v>
      </c>
      <c r="J28" s="13">
        <f>urise_lb(D28,$B$15,$B$14*E28,$B$18,$B$13*model!$AA$17)</f>
        <v>0.42035016454085694</v>
      </c>
      <c r="K28" s="13">
        <f>urise_y(D28,$B$15,$B$14*E28,$B$18,$B$13*model!$AA$17)</f>
        <v>0.3673480054447657</v>
      </c>
    </row>
    <row r="29" spans="1:11" ht="12.75">
      <c r="A29" s="8">
        <f t="shared" si="1"/>
        <v>0.6125</v>
      </c>
      <c r="B29" s="17">
        <v>2.35</v>
      </c>
      <c r="C29" s="17">
        <v>77</v>
      </c>
      <c r="D29" s="1">
        <f t="shared" si="0"/>
        <v>25</v>
      </c>
      <c r="E29" s="17">
        <v>1</v>
      </c>
      <c r="F29" s="13">
        <f>EXP(SUMPRODUCT($B$25:$B29,$I$25:$I29))*$B$13*model!$Z$17</f>
        <v>2.245292968897902</v>
      </c>
      <c r="G29" s="13">
        <f>EXP(SUMPRODUCT($B$25:$B29,$J$25:$J29))*$B$13*model!$Z$17</f>
        <v>2.6614120650819206</v>
      </c>
      <c r="H29" s="13">
        <f>EXP(SUMPRODUCT($B$25:$B29,$K$25:$K29))*$B$13*model!$Z$17</f>
        <v>1.8942352378744405</v>
      </c>
      <c r="I29" s="13">
        <f>urise_ave(D29,$B$15,$B$14*E29,$B$18,$B$13*model!$AA$17)</f>
        <v>0.43470361349625636</v>
      </c>
      <c r="J29" s="13">
        <f>urise_lb(D29,$B$15,$B$14*E29,$B$18,$B$13*model!$AA$17)</f>
        <v>0.4691002654829683</v>
      </c>
      <c r="K29" s="13">
        <f>urise_y(D29,$B$15,$B$14*E29,$B$18,$B$13*model!$AA$17)</f>
        <v>0.4003069615095444</v>
      </c>
    </row>
    <row r="30" spans="1:11" ht="12.75">
      <c r="A30" s="8">
        <f t="shared" si="1"/>
        <v>0.6125</v>
      </c>
      <c r="B30" s="17">
        <v>0</v>
      </c>
      <c r="C30" s="17">
        <v>76</v>
      </c>
      <c r="D30" s="1">
        <f t="shared" si="0"/>
        <v>24.444444444444443</v>
      </c>
      <c r="E30" s="17">
        <v>1</v>
      </c>
      <c r="F30" s="13">
        <f>EXP(SUMPRODUCT($B$25:$B30,$I$25:$I30))*$B$13*model!$Z$17</f>
        <v>2.245292968897902</v>
      </c>
      <c r="G30" s="13">
        <f>EXP(SUMPRODUCT($B$25:$B30,$J$25:$J30))*$B$13*model!$Z$17</f>
        <v>2.6614120650819206</v>
      </c>
      <c r="H30" s="13">
        <f>EXP(SUMPRODUCT($B$25:$B30,$K$25:$K30))*$B$13*model!$Z$17</f>
        <v>1.8942352378744405</v>
      </c>
      <c r="I30" s="13">
        <f>urise_ave(D30,$B$15,$B$14*E30,$B$18,$B$13*model!$AA$17)</f>
        <v>0.4146466003478564</v>
      </c>
      <c r="J30" s="13">
        <f>urise_lb(D30,$B$15,$B$14*E30,$B$18,$B$13*model!$AA$17)</f>
        <v>0.4444947221969446</v>
      </c>
      <c r="K30" s="13">
        <f>urise_y(D30,$B$15,$B$14*E30,$B$18,$B$13*model!$AA$17)</f>
        <v>0.3847984784987681</v>
      </c>
    </row>
    <row r="31" spans="1:11" ht="12.75">
      <c r="A31" s="8">
        <f t="shared" si="1"/>
        <v>0.6125</v>
      </c>
      <c r="B31" s="17">
        <v>0</v>
      </c>
      <c r="C31" s="17">
        <v>76</v>
      </c>
      <c r="D31" s="1">
        <f t="shared" si="0"/>
        <v>24.444444444444443</v>
      </c>
      <c r="E31" s="17">
        <v>1</v>
      </c>
      <c r="F31" s="13">
        <f>EXP(SUMPRODUCT($B$25:$B31,$I$25:$I31))*$B$13*model!$Z$17</f>
        <v>2.245292968897902</v>
      </c>
      <c r="G31" s="13">
        <f>EXP(SUMPRODUCT($B$25:$B31,$J$25:$J31))*$B$13*model!$Z$17</f>
        <v>2.6614120650819206</v>
      </c>
      <c r="H31" s="13">
        <f>EXP(SUMPRODUCT($B$25:$B31,$K$25:$K31))*$B$13*model!$Z$17</f>
        <v>1.8942352378744405</v>
      </c>
      <c r="I31" s="13">
        <f>urise_ave(D31,$B$15,$B$14*E31,$B$18,$B$13*model!$AA$17)</f>
        <v>0.4146466003478564</v>
      </c>
      <c r="J31" s="13">
        <f>urise_lb(D31,$B$15,$B$14*E31,$B$18,$B$13*model!$AA$17)</f>
        <v>0.4444947221969446</v>
      </c>
      <c r="K31" s="13">
        <f>urise_y(D31,$B$15,$B$14*E31,$B$18,$B$13*model!$AA$17)</f>
        <v>0.3847984784987681</v>
      </c>
    </row>
    <row r="33" spans="1:2" ht="12.75">
      <c r="A33" t="s">
        <v>136</v>
      </c>
      <c r="B33">
        <f>SUM(B25:B31)</f>
        <v>5.95</v>
      </c>
    </row>
    <row r="34" spans="1:2" ht="12.75">
      <c r="A34" t="s">
        <v>162</v>
      </c>
      <c r="B34" s="8">
        <f>B24+B33/24</f>
        <v>0.6125</v>
      </c>
    </row>
  </sheetData>
  <sheetProtection sheet="1" objects="1" scenarios="1"/>
  <printOptions/>
  <pageMargins left="0.75" right="0.75" top="1" bottom="1" header="0.5" footer="0.5"/>
  <pageSetup horizontalDpi="300" verticalDpi="300" orientation="portrait" r:id="rId3"/>
  <ignoredErrors>
    <ignoredError sqref="F26:F30 G26:G30 H26:H30" formulaRange="1"/>
  </ignoredErrors>
  <legacyDrawing r:id="rId2"/>
</worksheet>
</file>

<file path=xl/worksheets/sheet2.xml><?xml version="1.0" encoding="utf-8"?>
<worksheet xmlns="http://schemas.openxmlformats.org/spreadsheetml/2006/main" xmlns:r="http://schemas.openxmlformats.org/officeDocument/2006/relationships">
  <sheetPr codeName="Sheet4"/>
  <dimension ref="A1:K40"/>
  <sheetViews>
    <sheetView tabSelected="1" workbookViewId="0" topLeftCell="A8">
      <selection activeCell="C34" sqref="C34"/>
    </sheetView>
  </sheetViews>
  <sheetFormatPr defaultColWidth="9.140625" defaultRowHeight="12.75"/>
  <cols>
    <col min="1" max="1" width="27.8515625" style="0" customWidth="1"/>
    <col min="2" max="2" width="9.7109375" style="1" customWidth="1"/>
    <col min="3" max="3" width="9.57421875" style="0" customWidth="1"/>
    <col min="4" max="4" width="14.57421875" style="0" customWidth="1"/>
    <col min="5" max="5" width="16.140625" style="0" customWidth="1"/>
    <col min="6" max="6" width="16.7109375" style="0" customWidth="1"/>
  </cols>
  <sheetData>
    <row r="1" spans="1:6" ht="12.75">
      <c r="A1" s="32" t="s">
        <v>130</v>
      </c>
      <c r="B1" s="29" t="s">
        <v>96</v>
      </c>
      <c r="C1" s="19" t="s">
        <v>97</v>
      </c>
      <c r="D1" s="18" t="s">
        <v>98</v>
      </c>
      <c r="E1" s="9" t="s">
        <v>149</v>
      </c>
      <c r="F1" s="30" t="s">
        <v>111</v>
      </c>
    </row>
    <row r="2" spans="1:4" ht="12.75">
      <c r="A2" s="20"/>
      <c r="B2" s="27"/>
      <c r="C2" s="21"/>
      <c r="D2" s="20"/>
    </row>
    <row r="3" spans="1:7" ht="12.75">
      <c r="A3" s="20" t="s">
        <v>154</v>
      </c>
      <c r="B3" s="27">
        <f>C3/28.3495231</f>
        <v>0</v>
      </c>
      <c r="C3" s="22">
        <v>0</v>
      </c>
      <c r="D3" s="23">
        <f>B3/$B$37</f>
        <v>0</v>
      </c>
      <c r="F3" t="s">
        <v>152</v>
      </c>
      <c r="G3" s="34">
        <v>0.6</v>
      </c>
    </row>
    <row r="4" spans="1:10" ht="12.75">
      <c r="A4" s="20"/>
      <c r="B4" s="27"/>
      <c r="C4" s="21"/>
      <c r="D4" s="20"/>
      <c r="I4" t="s">
        <v>10</v>
      </c>
      <c r="J4" t="s">
        <v>48</v>
      </c>
    </row>
    <row r="5" spans="1:5" ht="12.75">
      <c r="A5" s="20" t="s">
        <v>99</v>
      </c>
      <c r="B5" s="27">
        <f>(1/(1+G3))*B3</f>
        <v>0</v>
      </c>
      <c r="C5" s="21">
        <f aca="true" t="shared" si="0" ref="C5:C38">B5*28.3495231</f>
        <v>0</v>
      </c>
      <c r="D5" s="23">
        <f>B5/$B$37</f>
        <v>0</v>
      </c>
      <c r="E5" s="23">
        <f>C5/$C$40</f>
        <v>0</v>
      </c>
    </row>
    <row r="6" spans="1:4" ht="12.75">
      <c r="A6" s="20" t="s">
        <v>100</v>
      </c>
      <c r="B6" s="27">
        <f>(G3/(1+G3))*B3</f>
        <v>0</v>
      </c>
      <c r="C6" s="21">
        <f t="shared" si="0"/>
        <v>0</v>
      </c>
      <c r="D6" s="23">
        <f>B6/$B$37</f>
        <v>0</v>
      </c>
    </row>
    <row r="7" spans="1:4" ht="12.75">
      <c r="A7" s="20"/>
      <c r="B7" s="27"/>
      <c r="C7" s="21"/>
      <c r="D7" s="23"/>
    </row>
    <row r="8" spans="1:7" ht="12.75">
      <c r="A8" s="20" t="s">
        <v>155</v>
      </c>
      <c r="B8" s="27">
        <f>C8/28.3495231</f>
        <v>0.5291094297103008</v>
      </c>
      <c r="C8" s="22">
        <v>15</v>
      </c>
      <c r="D8" s="23">
        <f>B8/$B$37</f>
        <v>0.01111111111111111</v>
      </c>
      <c r="F8" t="s">
        <v>153</v>
      </c>
      <c r="G8" s="4">
        <v>0.9</v>
      </c>
    </row>
    <row r="9" spans="1:4" ht="12.75">
      <c r="A9" s="20"/>
      <c r="B9" s="27"/>
      <c r="C9" s="21"/>
      <c r="D9" s="23"/>
    </row>
    <row r="10" spans="1:10" ht="12.75">
      <c r="A10" s="20" t="s">
        <v>99</v>
      </c>
      <c r="B10" s="27">
        <f>(1/(1+G8))*B8</f>
        <v>0.2784786472159478</v>
      </c>
      <c r="C10" s="21">
        <f t="shared" si="0"/>
        <v>7.894736842105262</v>
      </c>
      <c r="D10" s="23">
        <f>B10/$B$37</f>
        <v>0.005847953216374268</v>
      </c>
      <c r="E10" s="23">
        <f>C10/$C$40</f>
        <v>0.02688714122470928</v>
      </c>
      <c r="I10">
        <v>0.7</v>
      </c>
      <c r="J10">
        <f>I10*C10</f>
        <v>5.526315789473683</v>
      </c>
    </row>
    <row r="11" spans="1:4" ht="12.75">
      <c r="A11" s="20" t="s">
        <v>100</v>
      </c>
      <c r="B11" s="27">
        <f>(G8/(1+G8))*B8</f>
        <v>0.25063078249435305</v>
      </c>
      <c r="C11" s="21">
        <f t="shared" si="0"/>
        <v>7.105263157894737</v>
      </c>
      <c r="D11" s="23">
        <f>B11/$B$37</f>
        <v>0.005263157894736842</v>
      </c>
    </row>
    <row r="12" spans="1:4" ht="12.75">
      <c r="A12" s="20"/>
      <c r="B12" s="27"/>
      <c r="C12" s="21"/>
      <c r="D12" s="23"/>
    </row>
    <row r="13" spans="1:5" ht="12.75">
      <c r="A13" s="20" t="s">
        <v>151</v>
      </c>
      <c r="B13" s="27"/>
      <c r="C13" s="21"/>
      <c r="D13" s="20"/>
      <c r="E13" s="23">
        <f>(C10+C5)/C40</f>
        <v>0.02688714122470928</v>
      </c>
    </row>
    <row r="14" spans="1:5" ht="12.75">
      <c r="A14" s="20" t="s">
        <v>150</v>
      </c>
      <c r="B14" s="27"/>
      <c r="C14" s="21"/>
      <c r="D14" s="20"/>
      <c r="E14" s="24">
        <v>0.75</v>
      </c>
    </row>
    <row r="15" spans="1:4" ht="12.75">
      <c r="A15" s="20" t="s">
        <v>79</v>
      </c>
      <c r="B15" s="27">
        <f>C15/28.3495231</f>
        <v>18.125304901513495</v>
      </c>
      <c r="C15" s="25">
        <f>C19+C20+C10+C11+C5+C6+C17+C18</f>
        <v>513.84375</v>
      </c>
      <c r="D15" s="23">
        <f>B15/$B$37</f>
        <v>0.380625</v>
      </c>
    </row>
    <row r="16" spans="1:4" ht="12.75">
      <c r="A16" s="20"/>
      <c r="B16" s="27"/>
      <c r="C16" s="21"/>
      <c r="D16" s="23"/>
    </row>
    <row r="17" spans="1:10" ht="12.75">
      <c r="A17" s="31" t="s">
        <v>129</v>
      </c>
      <c r="B17" s="27">
        <f>E17*$B$40</f>
        <v>3.1589817114066374</v>
      </c>
      <c r="C17" s="26">
        <f t="shared" si="0"/>
        <v>89.55562499999999</v>
      </c>
      <c r="D17" s="23">
        <f>B17/$B$37</f>
        <v>0.0663375</v>
      </c>
      <c r="E17" s="24">
        <v>0.305</v>
      </c>
      <c r="F17" t="s">
        <v>144</v>
      </c>
      <c r="I17">
        <v>0.8</v>
      </c>
      <c r="J17">
        <f>I17*C17</f>
        <v>71.6445</v>
      </c>
    </row>
    <row r="18" spans="1:10" ht="12.75">
      <c r="A18" s="31" t="s">
        <v>147</v>
      </c>
      <c r="B18" s="27">
        <f>E18*$B$40</f>
        <v>3.7286341511684897</v>
      </c>
      <c r="C18" s="26">
        <f t="shared" si="0"/>
        <v>105.70499999999998</v>
      </c>
      <c r="D18" s="23">
        <f>B18/$B$37</f>
        <v>0.07829999999999998</v>
      </c>
      <c r="E18" s="24">
        <v>0.36</v>
      </c>
      <c r="F18" t="s">
        <v>145</v>
      </c>
      <c r="I18">
        <v>0.7</v>
      </c>
      <c r="J18">
        <f>I18*C18</f>
        <v>73.99349999999998</v>
      </c>
    </row>
    <row r="19" spans="1:10" ht="12.75">
      <c r="A19" s="31" t="s">
        <v>148</v>
      </c>
      <c r="B19" s="27">
        <f>C19/28.3495231</f>
        <v>3.1912225767880646</v>
      </c>
      <c r="C19" s="21">
        <f>C40-C10-C5-C18-C17</f>
        <v>90.46963815789476</v>
      </c>
      <c r="D19" s="23">
        <f>B19/$B$37</f>
        <v>0.06701454678362574</v>
      </c>
      <c r="E19" s="23">
        <f>B19/$B$40</f>
        <v>0.3081128587752908</v>
      </c>
      <c r="F19" t="s">
        <v>146</v>
      </c>
      <c r="I19">
        <v>0.7</v>
      </c>
      <c r="J19">
        <f>I19*C19</f>
        <v>63.32874671052633</v>
      </c>
    </row>
    <row r="20" spans="1:5" ht="12.75">
      <c r="A20" s="20" t="s">
        <v>101</v>
      </c>
      <c r="B20" s="27">
        <f>C20/28.3495231</f>
        <v>7.517357032440001</v>
      </c>
      <c r="C20" s="21">
        <f>E14*C40-C11-C6</f>
        <v>213.11348684210526</v>
      </c>
      <c r="D20" s="23">
        <f>B20/$B$37</f>
        <v>0.15786184210526313</v>
      </c>
      <c r="E20" s="23">
        <f>C20/$C$40</f>
        <v>0.7258015728977616</v>
      </c>
    </row>
    <row r="21" spans="1:4" ht="12.75">
      <c r="A21" s="20"/>
      <c r="B21" s="27"/>
      <c r="C21" s="21"/>
      <c r="D21" s="23"/>
    </row>
    <row r="22" spans="1:5" ht="12.75">
      <c r="A22" s="31" t="s">
        <v>102</v>
      </c>
      <c r="B22" s="27">
        <f>D22*$B$37</f>
        <v>0</v>
      </c>
      <c r="C22" s="26">
        <f t="shared" si="0"/>
        <v>0</v>
      </c>
      <c r="D22" s="24">
        <v>0</v>
      </c>
      <c r="E22" t="s">
        <v>119</v>
      </c>
    </row>
    <row r="23" spans="1:5" ht="12.75">
      <c r="A23" s="31" t="s">
        <v>103</v>
      </c>
      <c r="B23" s="27">
        <f>D23*$B$37</f>
        <v>0.4761984867392708</v>
      </c>
      <c r="C23" s="26">
        <f t="shared" si="0"/>
        <v>13.5</v>
      </c>
      <c r="D23" s="24">
        <v>0.01</v>
      </c>
      <c r="E23" t="s">
        <v>120</v>
      </c>
    </row>
    <row r="24" spans="1:4" ht="12.75">
      <c r="A24" s="20" t="s">
        <v>104</v>
      </c>
      <c r="B24" s="27">
        <f>B36</f>
        <v>0.9047771248046145</v>
      </c>
      <c r="C24" s="26">
        <f t="shared" si="0"/>
        <v>25.65</v>
      </c>
      <c r="D24" s="28">
        <f>B24/$B$37</f>
        <v>0.019</v>
      </c>
    </row>
    <row r="25" spans="1:5" ht="12.75">
      <c r="A25" s="31" t="s">
        <v>105</v>
      </c>
      <c r="B25" s="27">
        <f>D25*$B$37</f>
        <v>0</v>
      </c>
      <c r="C25" s="21">
        <f t="shared" si="0"/>
        <v>0</v>
      </c>
      <c r="D25" s="24">
        <v>0</v>
      </c>
      <c r="E25" t="s">
        <v>121</v>
      </c>
    </row>
    <row r="26" spans="1:5" ht="12.75">
      <c r="A26" s="31" t="s">
        <v>106</v>
      </c>
      <c r="B26" s="27">
        <f>D26*$B$37</f>
        <v>0</v>
      </c>
      <c r="C26" s="21">
        <f t="shared" si="0"/>
        <v>0</v>
      </c>
      <c r="D26" s="24">
        <v>0</v>
      </c>
      <c r="E26" t="s">
        <v>122</v>
      </c>
    </row>
    <row r="27" spans="1:4" ht="12.75">
      <c r="A27" s="20" t="s">
        <v>48</v>
      </c>
      <c r="B27" s="27">
        <f>B38-B11-B6-B20</f>
        <v>28.89929566398949</v>
      </c>
      <c r="C27" s="21">
        <f t="shared" si="0"/>
        <v>819.2812499999999</v>
      </c>
      <c r="D27" s="23">
        <f>B27/$B$37</f>
        <v>0.6068749999999998</v>
      </c>
    </row>
    <row r="28" spans="1:10" ht="12.75">
      <c r="A28" s="31" t="s">
        <v>112</v>
      </c>
      <c r="B28" s="27">
        <f>D28*$B$37</f>
        <v>2.8571909204356247</v>
      </c>
      <c r="C28" s="21">
        <f t="shared" si="0"/>
        <v>81</v>
      </c>
      <c r="D28" s="24">
        <v>0.06</v>
      </c>
      <c r="E28" t="s">
        <v>113</v>
      </c>
      <c r="I28">
        <v>0.85</v>
      </c>
      <c r="J28">
        <f aca="true" t="shared" si="1" ref="J28:J33">I28*C28</f>
        <v>68.85</v>
      </c>
    </row>
    <row r="29" spans="1:10" ht="12.75">
      <c r="A29" s="31" t="s">
        <v>159</v>
      </c>
      <c r="B29" s="27">
        <f>D29*$B$37</f>
        <v>1.9047939469570832</v>
      </c>
      <c r="C29" s="21">
        <f t="shared" si="0"/>
        <v>54</v>
      </c>
      <c r="D29" s="24">
        <v>0.04</v>
      </c>
      <c r="E29" t="s">
        <v>114</v>
      </c>
      <c r="I29">
        <v>0.7</v>
      </c>
      <c r="J29">
        <f t="shared" si="1"/>
        <v>37.8</v>
      </c>
    </row>
    <row r="30" spans="1:10" ht="12.75">
      <c r="A30" s="31" t="s">
        <v>158</v>
      </c>
      <c r="B30" s="27">
        <f>D30*$B$37</f>
        <v>3.8095878939141663</v>
      </c>
      <c r="C30" s="21">
        <f t="shared" si="0"/>
        <v>108</v>
      </c>
      <c r="D30" s="24">
        <v>0.08</v>
      </c>
      <c r="E30" t="s">
        <v>115</v>
      </c>
      <c r="I30">
        <v>0.85</v>
      </c>
      <c r="J30">
        <f t="shared" si="1"/>
        <v>91.8</v>
      </c>
    </row>
    <row r="31" spans="1:10" ht="12.75">
      <c r="A31" s="31" t="s">
        <v>157</v>
      </c>
      <c r="B31" s="27">
        <f>D31*$B$37</f>
        <v>11.90496216848177</v>
      </c>
      <c r="C31" s="21">
        <f t="shared" si="0"/>
        <v>337.5</v>
      </c>
      <c r="D31" s="24">
        <v>0.25</v>
      </c>
      <c r="E31" t="s">
        <v>116</v>
      </c>
      <c r="I31">
        <v>0.8</v>
      </c>
      <c r="J31">
        <f t="shared" si="1"/>
        <v>270</v>
      </c>
    </row>
    <row r="32" spans="1:10" ht="12.75">
      <c r="A32" s="31" t="s">
        <v>156</v>
      </c>
      <c r="B32" s="27">
        <f>D32*$B$37</f>
        <v>9.047771248046145</v>
      </c>
      <c r="C32" s="21">
        <f t="shared" si="0"/>
        <v>256.5</v>
      </c>
      <c r="D32" s="24">
        <v>0.19</v>
      </c>
      <c r="E32" t="s">
        <v>117</v>
      </c>
      <c r="F32" s="36"/>
      <c r="I32">
        <v>0.75</v>
      </c>
      <c r="J32">
        <f t="shared" si="1"/>
        <v>192.375</v>
      </c>
    </row>
    <row r="33" spans="1:10" ht="12.75">
      <c r="A33" s="31" t="s">
        <v>160</v>
      </c>
      <c r="B33" s="27">
        <f>B37-SUM(B28:B32)-B40</f>
        <v>7.738225409513154</v>
      </c>
      <c r="C33" s="21">
        <f t="shared" si="0"/>
        <v>219.3750000000001</v>
      </c>
      <c r="D33" s="23">
        <f>B33/$B$37</f>
        <v>0.16250000000000006</v>
      </c>
      <c r="E33" t="s">
        <v>118</v>
      </c>
      <c r="I33">
        <v>0.7</v>
      </c>
      <c r="J33">
        <f t="shared" si="1"/>
        <v>153.56250000000006</v>
      </c>
    </row>
    <row r="34" spans="1:5" ht="12.75">
      <c r="A34" s="20"/>
      <c r="B34" s="27">
        <f>SUM(B22:B33)+SUM(B5:B6)+SUM(B10:B11)+SUM(B17:B20)</f>
        <v>85.66810776439482</v>
      </c>
      <c r="C34" s="21">
        <f t="shared" si="0"/>
        <v>2428.65</v>
      </c>
      <c r="D34" s="23">
        <f>B34/$B$37</f>
        <v>1.799</v>
      </c>
      <c r="E34">
        <f>B34/16</f>
        <v>5.354256735274676</v>
      </c>
    </row>
    <row r="35" spans="1:4" ht="12.75">
      <c r="A35" s="20"/>
      <c r="B35" s="27"/>
      <c r="C35" s="21"/>
      <c r="D35" s="23"/>
    </row>
    <row r="36" spans="1:4" ht="12.75">
      <c r="A36" s="20" t="s">
        <v>107</v>
      </c>
      <c r="B36" s="27">
        <f>D36*$B$37</f>
        <v>0.9047771248046145</v>
      </c>
      <c r="C36" s="21">
        <f>B36*28.3495231</f>
        <v>25.65</v>
      </c>
      <c r="D36" s="24">
        <v>0.019</v>
      </c>
    </row>
    <row r="37" spans="1:4" ht="12.75">
      <c r="A37" s="20" t="s">
        <v>108</v>
      </c>
      <c r="B37" s="27">
        <f>$C$37/28.3495231</f>
        <v>47.61984867392708</v>
      </c>
      <c r="C37" s="22">
        <v>1350</v>
      </c>
      <c r="D37" s="23">
        <f>B37/$B$37</f>
        <v>1</v>
      </c>
    </row>
    <row r="38" spans="1:11" ht="12.75">
      <c r="A38" s="20" t="s">
        <v>109</v>
      </c>
      <c r="B38" s="27">
        <f>D38*$B$37</f>
        <v>36.66728347892385</v>
      </c>
      <c r="C38" s="21">
        <f t="shared" si="0"/>
        <v>1039.5</v>
      </c>
      <c r="D38" s="24">
        <v>0.77</v>
      </c>
      <c r="J38">
        <f>SUM(J28:J33,J17:J19,J10)</f>
        <v>1028.8805625</v>
      </c>
      <c r="K38">
        <f>SUM(J28:J32)</f>
        <v>660.825</v>
      </c>
    </row>
    <row r="39" spans="1:4" ht="12.75">
      <c r="A39" s="20"/>
      <c r="B39" s="27"/>
      <c r="C39" s="21"/>
      <c r="D39" s="20"/>
    </row>
    <row r="40" spans="1:4" ht="12.75">
      <c r="A40" s="20" t="s">
        <v>110</v>
      </c>
      <c r="B40" s="27">
        <f>C40/28.3495231</f>
        <v>10.357317086579139</v>
      </c>
      <c r="C40" s="21">
        <f>D40*C37</f>
        <v>293.625</v>
      </c>
      <c r="D40" s="24">
        <v>0.2175</v>
      </c>
    </row>
    <row r="41" ht="12.75"/>
  </sheetData>
  <sheetProtection sheet="1" objects="1" scenarios="1"/>
  <printOptions/>
  <pageMargins left="0.75" right="0.75" top="1" bottom="1" header="0.5" footer="0.5"/>
  <pageSetup orientation="portrait" paperSize="9"/>
  <ignoredErrors>
    <ignoredError sqref="B37 B27 B24" 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1:AK114"/>
  <sheetViews>
    <sheetView workbookViewId="0" topLeftCell="E1">
      <selection activeCell="O12" sqref="O12"/>
    </sheetView>
  </sheetViews>
  <sheetFormatPr defaultColWidth="9.140625" defaultRowHeight="12.75"/>
  <cols>
    <col min="9" max="9" width="12.140625" style="0" customWidth="1"/>
    <col min="12" max="12" width="11.421875" style="0" customWidth="1"/>
    <col min="14" max="14" width="15.57421875" style="0" customWidth="1"/>
    <col min="17" max="17" width="11.00390625" style="0" customWidth="1"/>
    <col min="20" max="20" width="12.28125" style="0" bestFit="1" customWidth="1"/>
    <col min="24" max="24" width="11.57421875" style="0" bestFit="1" customWidth="1"/>
    <col min="25" max="26" width="11.57421875" style="0" customWidth="1"/>
    <col min="28" max="28" width="13.421875" style="0" bestFit="1" customWidth="1"/>
  </cols>
  <sheetData>
    <row r="1" ht="12.75">
      <c r="A1" t="s">
        <v>0</v>
      </c>
    </row>
    <row r="2" spans="1:15" ht="12.75">
      <c r="A2" t="s">
        <v>1</v>
      </c>
      <c r="K2" t="s">
        <v>36</v>
      </c>
      <c r="L2">
        <f>P21</f>
        <v>0.99</v>
      </c>
      <c r="N2" t="s">
        <v>38</v>
      </c>
      <c r="O2" s="10">
        <f>AA17</f>
        <v>1.03</v>
      </c>
    </row>
    <row r="3" spans="1:14" ht="12.75">
      <c r="A3" t="s">
        <v>2</v>
      </c>
      <c r="D3">
        <v>41</v>
      </c>
      <c r="E3">
        <v>41</v>
      </c>
      <c r="F3">
        <v>41</v>
      </c>
      <c r="G3">
        <v>36</v>
      </c>
      <c r="K3" t="s">
        <v>37</v>
      </c>
      <c r="L3" s="3">
        <v>0.15</v>
      </c>
      <c r="N3" s="1">
        <f>O2*L3</f>
        <v>0.1545</v>
      </c>
    </row>
    <row r="4" spans="4:14" ht="12.75">
      <c r="D4" t="s">
        <v>6</v>
      </c>
      <c r="E4" t="s">
        <v>7</v>
      </c>
      <c r="F4" t="s">
        <v>13</v>
      </c>
      <c r="G4" t="s">
        <v>8</v>
      </c>
      <c r="I4" t="s">
        <v>10</v>
      </c>
      <c r="J4" t="s">
        <v>16</v>
      </c>
      <c r="K4" t="s">
        <v>49</v>
      </c>
      <c r="L4" t="s">
        <v>21</v>
      </c>
      <c r="M4" t="s">
        <v>23</v>
      </c>
      <c r="N4" t="s">
        <v>24</v>
      </c>
    </row>
    <row r="5" spans="3:14" ht="12.75">
      <c r="C5" t="s">
        <v>3</v>
      </c>
      <c r="D5">
        <v>0.1267</v>
      </c>
      <c r="E5">
        <v>0.0682</v>
      </c>
      <c r="F5">
        <v>0.095</v>
      </c>
      <c r="G5">
        <v>0.0124</v>
      </c>
      <c r="H5" t="s">
        <v>10</v>
      </c>
      <c r="I5" s="3">
        <v>0.72</v>
      </c>
      <c r="J5">
        <f>AB17</f>
        <v>1.4</v>
      </c>
      <c r="K5" s="4">
        <v>0.018</v>
      </c>
      <c r="L5">
        <f>L2*L3</f>
        <v>0.1485</v>
      </c>
      <c r="M5">
        <f>(N5+40)*5/9-40</f>
        <v>24.444444444444443</v>
      </c>
      <c r="N5" s="2">
        <v>76</v>
      </c>
    </row>
    <row r="6" spans="3:14" ht="12.75">
      <c r="C6" t="s">
        <v>4</v>
      </c>
      <c r="D6">
        <v>1.5404</v>
      </c>
      <c r="E6">
        <v>1.9782</v>
      </c>
      <c r="F6">
        <v>1.75</v>
      </c>
      <c r="G6">
        <v>2.981</v>
      </c>
      <c r="H6" t="s">
        <v>11</v>
      </c>
      <c r="I6">
        <v>1</v>
      </c>
      <c r="J6" t="s">
        <v>25</v>
      </c>
      <c r="M6">
        <f>(N6+40)*5/9-40</f>
        <v>24.444444444444443</v>
      </c>
      <c r="N6" s="2">
        <v>76</v>
      </c>
    </row>
    <row r="7" spans="3:20" ht="12.75">
      <c r="C7" t="s">
        <v>5</v>
      </c>
      <c r="D7">
        <v>-0.1931</v>
      </c>
      <c r="E7">
        <v>-0.2233</v>
      </c>
      <c r="F7">
        <v>-0.2075</v>
      </c>
      <c r="G7">
        <v>-0.3355</v>
      </c>
      <c r="H7" t="s">
        <v>12</v>
      </c>
      <c r="I7">
        <v>0.82</v>
      </c>
      <c r="J7">
        <v>2.3</v>
      </c>
      <c r="L7" t="s">
        <v>32</v>
      </c>
      <c r="M7">
        <f>(N7+40)*5/9-40</f>
        <v>24.444444444444443</v>
      </c>
      <c r="N7" s="2">
        <v>76</v>
      </c>
      <c r="O7" t="s">
        <v>33</v>
      </c>
      <c r="P7" s="2">
        <v>0.6</v>
      </c>
      <c r="Q7" t="s">
        <v>34</v>
      </c>
      <c r="R7" s="2">
        <v>0</v>
      </c>
      <c r="S7" t="s">
        <v>35</v>
      </c>
      <c r="T7" s="2">
        <v>1.4</v>
      </c>
    </row>
    <row r="8" spans="3:7" ht="12.75">
      <c r="C8" t="s">
        <v>9</v>
      </c>
      <c r="D8">
        <v>41</v>
      </c>
      <c r="E8">
        <v>41</v>
      </c>
      <c r="F8">
        <v>41</v>
      </c>
      <c r="G8">
        <v>36</v>
      </c>
    </row>
    <row r="9" spans="1:20" ht="12.75">
      <c r="A9" t="s">
        <v>15</v>
      </c>
      <c r="B9" t="s">
        <v>6</v>
      </c>
      <c r="C9" t="s">
        <v>7</v>
      </c>
      <c r="D9" t="s">
        <v>14</v>
      </c>
      <c r="E9" t="s">
        <v>8</v>
      </c>
      <c r="G9" t="s">
        <v>6</v>
      </c>
      <c r="H9" t="s">
        <v>7</v>
      </c>
      <c r="I9" t="s">
        <v>14</v>
      </c>
      <c r="J9" t="s">
        <v>8</v>
      </c>
      <c r="K9" t="s">
        <v>17</v>
      </c>
      <c r="L9" t="s">
        <v>18</v>
      </c>
      <c r="M9" t="s">
        <v>19</v>
      </c>
      <c r="N9" t="s">
        <v>20</v>
      </c>
      <c r="O9" t="s">
        <v>27</v>
      </c>
      <c r="P9" t="s">
        <v>26</v>
      </c>
      <c r="Q9" t="s">
        <v>22</v>
      </c>
      <c r="S9" t="s">
        <v>54</v>
      </c>
      <c r="T9" s="12">
        <v>0.4270833333333333</v>
      </c>
    </row>
    <row r="10" spans="1:25" ht="12.75">
      <c r="A10">
        <v>4</v>
      </c>
      <c r="B10">
        <f>D$5*(D$8-$A10)^D$6*EXP(D$7*(D$8-$A10))</f>
        <v>0.026033392475581618</v>
      </c>
      <c r="C10">
        <f aca="true" t="shared" si="0" ref="C10:C32">E$5*(E$8-$A10)^E$6*EXP(E$7*(E$8-$A10))</f>
        <v>0.022274942225081033</v>
      </c>
      <c r="D10">
        <f aca="true" t="shared" si="1" ref="D10:D30">F$5*(F$8-$A10)^F$6*EXP(F$7*(F$8-$A10))</f>
        <v>0.024421972484165805</v>
      </c>
      <c r="E10">
        <f aca="true" t="shared" si="2" ref="E10:E30">G$5*(G$8-$A10)^G$6*EXP(G$7*(G$8-$A10))</f>
        <v>0.008273479836737395</v>
      </c>
      <c r="F10">
        <f aca="true" t="shared" si="3" ref="F10:F32">(A10+40)*9/5-40</f>
        <v>39.2</v>
      </c>
      <c r="G10">
        <f>LN(2)/($J$5*B10*($I$5/$I$7)^$I$6)</f>
        <v>21.65947948375554</v>
      </c>
      <c r="H10">
        <f aca="true" t="shared" si="4" ref="H10:H32">LN(2)/($J$5*C10*($I$5/$I$7)^$I$6)</f>
        <v>25.314082726666403</v>
      </c>
      <c r="I10">
        <f aca="true" t="shared" si="5" ref="I10:I32">LN(2)/($J$5*D10*($I$5/$I$7)^$I$6)</f>
        <v>23.08862359840122</v>
      </c>
      <c r="J10">
        <f aca="true" t="shared" si="6" ref="J10:J29">LN(2)/($J$5*E10*($I$5/$I$7)^$I$6)</f>
        <v>68.15387737015082</v>
      </c>
      <c r="K10">
        <f>uy(M5)</f>
        <v>0.3783464798036082</v>
      </c>
      <c r="L10">
        <f>uh(I5,N3)</f>
        <v>0.932967995396436</v>
      </c>
      <c r="M10">
        <f>ui(K5)</f>
        <v>0.8781654619699131</v>
      </c>
      <c r="N10">
        <f>uall_ave(M5,I5,K5,J5,N3)</f>
        <v>0.44321383605708825</v>
      </c>
      <c r="O10">
        <f>-LN(L5)/uall_ave(M5,I5,K5,J5,N3)</f>
        <v>4.30304779676086</v>
      </c>
      <c r="P10">
        <f>LN(J7)/uall_ave(M6,I5,K5,J5,N3)</f>
        <v>1.8792489204416913</v>
      </c>
      <c r="Q10">
        <f>O10+P10</f>
        <v>6.182296717202552</v>
      </c>
      <c r="S10" t="s">
        <v>40</v>
      </c>
      <c r="T10" t="s">
        <v>41</v>
      </c>
      <c r="U10" t="s">
        <v>42</v>
      </c>
      <c r="V10" t="s">
        <v>43</v>
      </c>
      <c r="W10" t="s">
        <v>44</v>
      </c>
      <c r="Y10" t="s">
        <v>49</v>
      </c>
    </row>
    <row r="11" spans="1:25" ht="12.75">
      <c r="A11">
        <f>A10+2</f>
        <v>6</v>
      </c>
      <c r="B11">
        <f aca="true" t="shared" si="7" ref="B11:B32">D$5*(D$8-$A11)^D$6*EXP(D$7*(D$8-$A11))</f>
        <v>0.03516250237098675</v>
      </c>
      <c r="C11">
        <f t="shared" si="0"/>
        <v>0.031191140622564714</v>
      </c>
      <c r="D11">
        <f t="shared" si="1"/>
        <v>0.03355668167098966</v>
      </c>
      <c r="E11">
        <f t="shared" si="2"/>
        <v>0.013351995740530294</v>
      </c>
      <c r="F11">
        <f t="shared" si="3"/>
        <v>42.8</v>
      </c>
      <c r="G11">
        <f aca="true" t="shared" si="8" ref="G11:G32">LN(2)/($J$5*B11*($I$5/$I$7)^$I$6)</f>
        <v>16.036109269705317</v>
      </c>
      <c r="H11">
        <f t="shared" si="4"/>
        <v>18.077881057337596</v>
      </c>
      <c r="I11">
        <f t="shared" si="5"/>
        <v>16.803500886826097</v>
      </c>
      <c r="J11">
        <f t="shared" si="6"/>
        <v>42.231119689903444</v>
      </c>
      <c r="K11" t="s">
        <v>28</v>
      </c>
      <c r="L11" t="s">
        <v>71</v>
      </c>
      <c r="N11" t="s">
        <v>68</v>
      </c>
      <c r="S11">
        <v>1</v>
      </c>
      <c r="T11" s="2">
        <v>3.25</v>
      </c>
      <c r="U11" s="2">
        <v>76</v>
      </c>
      <c r="V11">
        <f aca="true" t="shared" si="9" ref="V11:V16">(U11+40)*5/9-40</f>
        <v>24.444444444444443</v>
      </c>
      <c r="W11">
        <f aca="true" t="shared" si="10" ref="W11:W16">uall_ave(V11,$I$5,$K$5*Y11,$J$5,$N$3)</f>
        <v>0.44321383605708825</v>
      </c>
      <c r="X11">
        <f>EXP(SUMPRODUCT($T$11,$W$11))*$L$5</f>
        <v>0.6270522844465308</v>
      </c>
      <c r="Y11" s="2">
        <v>1</v>
      </c>
    </row>
    <row r="12" spans="1:29" ht="12.75">
      <c r="A12">
        <f aca="true" t="shared" si="11" ref="A12:A32">A11+2</f>
        <v>8</v>
      </c>
      <c r="B12">
        <f t="shared" si="7"/>
        <v>0.047254237620586365</v>
      </c>
      <c r="C12">
        <f t="shared" si="0"/>
        <v>0.04339463530327832</v>
      </c>
      <c r="D12">
        <f t="shared" si="1"/>
        <v>0.04584495336030147</v>
      </c>
      <c r="E12">
        <f t="shared" si="2"/>
        <v>0.021263630338617966</v>
      </c>
      <c r="F12">
        <f t="shared" si="3"/>
        <v>46.400000000000006</v>
      </c>
      <c r="G12">
        <f t="shared" si="8"/>
        <v>11.932680720506754</v>
      </c>
      <c r="H12">
        <f t="shared" si="4"/>
        <v>12.99399629186001</v>
      </c>
      <c r="I12">
        <f t="shared" si="5"/>
        <v>12.299494031238074</v>
      </c>
      <c r="J12">
        <f t="shared" si="6"/>
        <v>26.518036724582405</v>
      </c>
      <c r="K12">
        <f>ulb(M5)</f>
        <v>0.43704178376847486</v>
      </c>
      <c r="L12">
        <f>gluten_quality(I5,K5,N3)</f>
        <v>0.9963156980732838</v>
      </c>
      <c r="N12">
        <f>urise_ave(M5,I5,K5,J5,N3)</f>
        <v>0.444852808115132</v>
      </c>
      <c r="O12">
        <f>-LN(L5)/urise_ave(M5,I5,K5,J5,N3)</f>
        <v>4.287194069472502</v>
      </c>
      <c r="P12">
        <f>LN(J7)/urise_ave(M6,I5,K5,J5,N3)</f>
        <v>1.8723252000233284</v>
      </c>
      <c r="Q12">
        <f>O12+P12</f>
        <v>6.1595192694958305</v>
      </c>
      <c r="S12">
        <v>2</v>
      </c>
      <c r="T12" s="2">
        <v>2.6</v>
      </c>
      <c r="U12" s="2">
        <v>77</v>
      </c>
      <c r="V12">
        <f t="shared" si="9"/>
        <v>25</v>
      </c>
      <c r="W12">
        <f t="shared" si="10"/>
        <v>0.46465268477764243</v>
      </c>
      <c r="X12">
        <f>EXP(SUMPRODUCT($T$11:T12,$W$11:W12))*$L$5</f>
        <v>2.0988123284663343</v>
      </c>
      <c r="Y12" s="2">
        <v>1</v>
      </c>
      <c r="Z12" s="2">
        <v>0.99</v>
      </c>
      <c r="AA12" s="2">
        <v>1.03</v>
      </c>
      <c r="AB12" s="2">
        <v>1.23</v>
      </c>
      <c r="AC12" s="11">
        <v>1.01</v>
      </c>
    </row>
    <row r="13" spans="1:28" ht="12.75">
      <c r="A13">
        <f t="shared" si="11"/>
        <v>10</v>
      </c>
      <c r="B13">
        <f t="shared" si="7"/>
        <v>0.06314514573995718</v>
      </c>
      <c r="C13">
        <f t="shared" si="0"/>
        <v>0.059934844834651356</v>
      </c>
      <c r="D13">
        <f t="shared" si="1"/>
        <v>0.0622310766423552</v>
      </c>
      <c r="E13">
        <f t="shared" si="2"/>
        <v>0.03335081642104101</v>
      </c>
      <c r="F13">
        <f t="shared" si="3"/>
        <v>50</v>
      </c>
      <c r="G13">
        <f t="shared" si="8"/>
        <v>8.929739944532404</v>
      </c>
      <c r="H13">
        <f t="shared" si="4"/>
        <v>9.408045215984513</v>
      </c>
      <c r="I13">
        <f t="shared" si="5"/>
        <v>9.060902697505952</v>
      </c>
      <c r="J13">
        <f t="shared" si="6"/>
        <v>16.9072241920192</v>
      </c>
      <c r="L13" t="s">
        <v>39</v>
      </c>
      <c r="N13" t="s">
        <v>29</v>
      </c>
      <c r="O13" t="s">
        <v>30</v>
      </c>
      <c r="S13">
        <v>3</v>
      </c>
      <c r="T13" s="2">
        <v>0</v>
      </c>
      <c r="U13" s="2">
        <v>77</v>
      </c>
      <c r="V13">
        <f t="shared" si="9"/>
        <v>25</v>
      </c>
      <c r="W13">
        <f t="shared" si="10"/>
        <v>0.46465268477764243</v>
      </c>
      <c r="X13">
        <f>EXP(SUMPRODUCT($T$11:T13,$W$11:W13))*$L$5</f>
        <v>2.0988123284663343</v>
      </c>
      <c r="Y13" s="2">
        <v>1</v>
      </c>
      <c r="Z13">
        <v>1.03</v>
      </c>
      <c r="AA13">
        <v>1.34</v>
      </c>
      <c r="AB13">
        <v>1.08</v>
      </c>
    </row>
    <row r="14" spans="1:28" ht="12.75">
      <c r="A14">
        <f t="shared" si="11"/>
        <v>12</v>
      </c>
      <c r="B14">
        <f t="shared" si="7"/>
        <v>0.08383952741751366</v>
      </c>
      <c r="C14">
        <f t="shared" si="0"/>
        <v>0.08209927417929812</v>
      </c>
      <c r="D14">
        <f t="shared" si="1"/>
        <v>0.08385965217747185</v>
      </c>
      <c r="E14">
        <f t="shared" si="2"/>
        <v>0.051391610581366466</v>
      </c>
      <c r="F14">
        <f t="shared" si="3"/>
        <v>53.599999999999994</v>
      </c>
      <c r="G14">
        <f t="shared" si="8"/>
        <v>6.7255833565162275</v>
      </c>
      <c r="H14">
        <f t="shared" si="4"/>
        <v>6.868145131051589</v>
      </c>
      <c r="I14">
        <f t="shared" si="5"/>
        <v>6.723969341347858</v>
      </c>
      <c r="J14">
        <f t="shared" si="6"/>
        <v>10.97201904821919</v>
      </c>
      <c r="L14">
        <f>glutenrot(N3)</f>
        <v>0.9289272243489858</v>
      </c>
      <c r="N14">
        <f>uall_lb(M5,I5,K5,J5,0)</f>
        <v>0.49824675001058166</v>
      </c>
      <c r="O14">
        <f>L5*(EXP(uall_lb(M5,I5,K5,J5,0)*O10)-1)/uall_lb(M5,I5,K5,J5,0)</f>
        <v>2.245271821629361</v>
      </c>
      <c r="P14">
        <f>(EXP(uall_lb(M6,I5,K5,J5,0)*P10)-1)/uall_lb(M6,I5,K5,J5,0)</f>
        <v>3.112117954240754</v>
      </c>
      <c r="Q14">
        <f>O14+P14+O16</f>
        <v>5.945500268718597</v>
      </c>
      <c r="S14">
        <v>4</v>
      </c>
      <c r="T14" s="2">
        <v>0</v>
      </c>
      <c r="U14" s="2">
        <v>78</v>
      </c>
      <c r="V14">
        <f t="shared" si="9"/>
        <v>25.555555555555557</v>
      </c>
      <c r="W14">
        <f t="shared" si="10"/>
        <v>0.4849074713945284</v>
      </c>
      <c r="X14">
        <f>EXP(SUMPRODUCT($T$11:T14,$W$11:W14))*$L$5</f>
        <v>2.0988123284663343</v>
      </c>
      <c r="Y14" s="2">
        <v>1</v>
      </c>
      <c r="Z14">
        <v>0.59</v>
      </c>
      <c r="AA14">
        <v>1.19</v>
      </c>
      <c r="AB14">
        <v>1.35</v>
      </c>
    </row>
    <row r="15" spans="1:25" ht="12.75">
      <c r="A15">
        <f t="shared" si="11"/>
        <v>14</v>
      </c>
      <c r="B15">
        <f t="shared" si="7"/>
        <v>0.11050151107157184</v>
      </c>
      <c r="C15">
        <f t="shared" si="0"/>
        <v>0.11140464833839696</v>
      </c>
      <c r="D15">
        <f t="shared" si="1"/>
        <v>0.11206638367646908</v>
      </c>
      <c r="E15">
        <f t="shared" si="2"/>
        <v>0.07756327276735991</v>
      </c>
      <c r="F15">
        <f t="shared" si="3"/>
        <v>57.2</v>
      </c>
      <c r="G15">
        <f t="shared" si="8"/>
        <v>5.102823705751836</v>
      </c>
      <c r="H15">
        <f t="shared" si="4"/>
        <v>5.061456040008623</v>
      </c>
      <c r="I15">
        <f t="shared" si="5"/>
        <v>5.031568894426752</v>
      </c>
      <c r="J15">
        <f t="shared" si="6"/>
        <v>7.269803221283139</v>
      </c>
      <c r="L15" t="s">
        <v>69</v>
      </c>
      <c r="N15" t="s">
        <v>31</v>
      </c>
      <c r="S15">
        <v>5</v>
      </c>
      <c r="T15" s="2">
        <v>0</v>
      </c>
      <c r="U15" s="2">
        <v>70</v>
      </c>
      <c r="V15">
        <f t="shared" si="9"/>
        <v>21.111111111111114</v>
      </c>
      <c r="W15">
        <f t="shared" si="10"/>
        <v>0.3087110201207917</v>
      </c>
      <c r="X15">
        <f>EXP(SUMPRODUCT($T$11:T15,$W$11:W15))*$L$5</f>
        <v>2.0988123284663343</v>
      </c>
      <c r="Y15" s="2">
        <v>1</v>
      </c>
    </row>
    <row r="16" spans="1:30" ht="12.75">
      <c r="A16">
        <f t="shared" si="11"/>
        <v>16</v>
      </c>
      <c r="B16">
        <f t="shared" si="7"/>
        <v>0.14441316720822137</v>
      </c>
      <c r="C16">
        <f t="shared" si="0"/>
        <v>0.1495341390488712</v>
      </c>
      <c r="D16">
        <f t="shared" si="1"/>
        <v>0.14832555962760008</v>
      </c>
      <c r="E16">
        <f t="shared" si="2"/>
        <v>0.11420263609229697</v>
      </c>
      <c r="F16">
        <f t="shared" si="3"/>
        <v>60.8</v>
      </c>
      <c r="G16">
        <f t="shared" si="8"/>
        <v>3.904558989447293</v>
      </c>
      <c r="H16">
        <f t="shared" si="4"/>
        <v>3.770842790843436</v>
      </c>
      <c r="I16">
        <f t="shared" si="5"/>
        <v>3.8015681965611288</v>
      </c>
      <c r="J16">
        <f t="shared" si="6"/>
        <v>4.9374493401509945</v>
      </c>
      <c r="L16">
        <f>stiff_h(I5)</f>
        <v>1.0067363653824226</v>
      </c>
      <c r="N16">
        <f>(LN(L5)-LN(0.001))/uall(M7,P7,R7,T7,0)</f>
        <v>10.56382408847151</v>
      </c>
      <c r="O16">
        <f>0.001*(EXP(uall_lb(M7,P7,R7,T7,0)*N16)-1)/uall_lb(M7,P7,R7,T7,0)</f>
        <v>0.5881104928484825</v>
      </c>
      <c r="S16">
        <v>6</v>
      </c>
      <c r="T16" s="2">
        <v>0</v>
      </c>
      <c r="U16" s="2">
        <v>68</v>
      </c>
      <c r="V16">
        <f t="shared" si="9"/>
        <v>20</v>
      </c>
      <c r="W16">
        <f t="shared" si="10"/>
        <v>0.26727756908621225</v>
      </c>
      <c r="X16">
        <f>EXP(SUMPRODUCT($T$11:T16,$W$11:W16))*$L$5</f>
        <v>2.0988123284663343</v>
      </c>
      <c r="Y16" s="2">
        <v>1</v>
      </c>
      <c r="Z16" t="s">
        <v>36</v>
      </c>
      <c r="AA16" t="s">
        <v>38</v>
      </c>
      <c r="AB16" s="9" t="s">
        <v>16</v>
      </c>
      <c r="AC16" t="s">
        <v>76</v>
      </c>
      <c r="AD16" s="6">
        <f>((SUMPRODUCT(AE21:AE29,AF21:AF29)+SUMPRODUCT(AE33:AE44,AF33:AF44)+SUMPRODUCT(AE48:AE53,AF48:AF53)+SUMPRODUCT(AE57:AE58,AF57:AF58))/SUM(AE21:AE29,AE33:AE44,AE48:AE53,AE57:AE58))^0.5</f>
        <v>0.1533527235006605</v>
      </c>
    </row>
    <row r="17" spans="1:30" ht="12.75">
      <c r="A17">
        <f t="shared" si="11"/>
        <v>18</v>
      </c>
      <c r="B17">
        <f t="shared" si="7"/>
        <v>0.1868745203671293</v>
      </c>
      <c r="C17">
        <f t="shared" si="0"/>
        <v>0.19818069643937608</v>
      </c>
      <c r="D17">
        <f t="shared" si="1"/>
        <v>0.19412295937022064</v>
      </c>
      <c r="E17">
        <f t="shared" si="2"/>
        <v>0.16318665737374582</v>
      </c>
      <c r="F17">
        <f t="shared" si="3"/>
        <v>64.4</v>
      </c>
      <c r="G17">
        <f t="shared" si="8"/>
        <v>3.017370849218238</v>
      </c>
      <c r="H17">
        <f t="shared" si="4"/>
        <v>2.8452303395245404</v>
      </c>
      <c r="I17">
        <f t="shared" si="5"/>
        <v>2.9047039672521913</v>
      </c>
      <c r="J17">
        <f t="shared" si="6"/>
        <v>3.4553666291845597</v>
      </c>
      <c r="L17" t="s">
        <v>70</v>
      </c>
      <c r="M17" t="s">
        <v>46</v>
      </c>
      <c r="N17" t="s">
        <v>45</v>
      </c>
      <c r="T17">
        <f>SUM(T11:T16)</f>
        <v>5.85</v>
      </c>
      <c r="X17">
        <f>EXP(SUMPRODUCT($T$11:T16,$W$11:W16))*$L$5</f>
        <v>2.0988123284663343</v>
      </c>
      <c r="Z17" s="2">
        <v>0.99</v>
      </c>
      <c r="AA17" s="2">
        <v>1.03</v>
      </c>
      <c r="AB17" s="2">
        <v>1.4</v>
      </c>
      <c r="AC17" s="11">
        <v>1.01</v>
      </c>
      <c r="AD17" s="6">
        <f>(SUMSQ(AD21:AD29,AD33:AD44,AD48:AD51)/COUNT(AD48:AD51,AD33:AD44,AD21:AD29))^0.5</f>
        <v>0.1696447047214152</v>
      </c>
    </row>
    <row r="18" spans="1:20" ht="12.75">
      <c r="A18">
        <v>19</v>
      </c>
      <c r="B18">
        <f aca="true" t="shared" si="12" ref="B18:B24">D$5*(D$8-$A18)^D$6*EXP(D$7*(D$8-$A18))</f>
        <v>0.21167749840458827</v>
      </c>
      <c r="C18">
        <f t="shared" si="0"/>
        <v>0.22690802203180424</v>
      </c>
      <c r="D18">
        <f t="shared" si="1"/>
        <v>0.22100850500827504</v>
      </c>
      <c r="E18">
        <f t="shared" si="2"/>
        <v>0.1924825405634052</v>
      </c>
      <c r="F18">
        <f t="shared" si="3"/>
        <v>66.2</v>
      </c>
      <c r="G18">
        <f t="shared" si="8"/>
        <v>2.6638151644237</v>
      </c>
      <c r="H18">
        <f t="shared" si="4"/>
        <v>2.485014523366573</v>
      </c>
      <c r="I18">
        <f t="shared" si="5"/>
        <v>2.5513485564562473</v>
      </c>
      <c r="J18">
        <f t="shared" si="6"/>
        <v>2.9294591008978967</v>
      </c>
      <c r="L18">
        <f>stiff_xi(K5)</f>
        <v>1.0239654251051002</v>
      </c>
      <c r="M18">
        <v>16</v>
      </c>
      <c r="N18">
        <f>(LN(M18)-LN(L5))/uall_ave(M5,I5,K5,J5,N3)</f>
        <v>10.558693484416372</v>
      </c>
      <c r="S18" t="s">
        <v>77</v>
      </c>
      <c r="T18" s="5">
        <f>T9+T17/24</f>
        <v>0.6708333333333333</v>
      </c>
    </row>
    <row r="19" spans="1:37" ht="12.75">
      <c r="A19">
        <f>A17+2</f>
        <v>20</v>
      </c>
      <c r="B19">
        <f t="shared" si="12"/>
        <v>0.2390097749329623</v>
      </c>
      <c r="C19">
        <f t="shared" si="0"/>
        <v>0.2587387463208357</v>
      </c>
      <c r="D19">
        <f t="shared" si="1"/>
        <v>0.25070856216599613</v>
      </c>
      <c r="E19">
        <f t="shared" si="2"/>
        <v>0.22470388159491256</v>
      </c>
      <c r="F19">
        <f t="shared" si="3"/>
        <v>68</v>
      </c>
      <c r="G19">
        <f t="shared" si="8"/>
        <v>2.359191084864921</v>
      </c>
      <c r="H19">
        <f t="shared" si="4"/>
        <v>2.179301470055892</v>
      </c>
      <c r="I19">
        <f t="shared" si="5"/>
        <v>2.2491043997295685</v>
      </c>
      <c r="J19">
        <f t="shared" si="6"/>
        <v>2.5093902526968286</v>
      </c>
      <c r="L19" t="s">
        <v>66</v>
      </c>
      <c r="P19" t="s">
        <v>36</v>
      </c>
      <c r="Q19" t="s">
        <v>50</v>
      </c>
      <c r="R19" t="s">
        <v>32</v>
      </c>
      <c r="S19" t="s">
        <v>48</v>
      </c>
      <c r="T19" t="s">
        <v>47</v>
      </c>
      <c r="U19" t="s">
        <v>49</v>
      </c>
      <c r="V19" t="s">
        <v>52</v>
      </c>
      <c r="W19" t="s">
        <v>53</v>
      </c>
      <c r="X19" t="s">
        <v>54</v>
      </c>
      <c r="Y19" t="s">
        <v>37</v>
      </c>
      <c r="Z19" t="s">
        <v>10</v>
      </c>
      <c r="AA19" t="s">
        <v>51</v>
      </c>
      <c r="AB19" t="s">
        <v>55</v>
      </c>
      <c r="AC19" t="s">
        <v>56</v>
      </c>
      <c r="AD19" t="s">
        <v>57</v>
      </c>
      <c r="AE19" t="s">
        <v>58</v>
      </c>
      <c r="AF19" t="s">
        <v>59</v>
      </c>
      <c r="AG19" t="s">
        <v>73</v>
      </c>
      <c r="AH19" t="s">
        <v>69</v>
      </c>
      <c r="AI19" t="s">
        <v>70</v>
      </c>
      <c r="AJ19" t="s">
        <v>61</v>
      </c>
      <c r="AK19" t="s">
        <v>66</v>
      </c>
    </row>
    <row r="20" spans="1:12" ht="12.75">
      <c r="A20">
        <v>21</v>
      </c>
      <c r="B20">
        <f t="shared" si="12"/>
        <v>0.26892918213671735</v>
      </c>
      <c r="C20">
        <f t="shared" si="0"/>
        <v>0.29371272047807206</v>
      </c>
      <c r="D20">
        <f t="shared" si="1"/>
        <v>0.28327222761626714</v>
      </c>
      <c r="E20">
        <f t="shared" si="2"/>
        <v>0.2592762568699502</v>
      </c>
      <c r="F20">
        <f t="shared" si="3"/>
        <v>69.8</v>
      </c>
      <c r="G20">
        <f t="shared" si="8"/>
        <v>2.096721991036129</v>
      </c>
      <c r="H20">
        <f t="shared" si="4"/>
        <v>1.9198001683400465</v>
      </c>
      <c r="I20">
        <f t="shared" si="5"/>
        <v>1.990557757681979</v>
      </c>
      <c r="J20">
        <f t="shared" si="6"/>
        <v>2.174783518647625</v>
      </c>
      <c r="L20">
        <f>L18*L16*L14</f>
        <v>0.957596919250203</v>
      </c>
    </row>
    <row r="21" spans="1:37" ht="12.75">
      <c r="A21">
        <f>A19+2</f>
        <v>22</v>
      </c>
      <c r="B21">
        <f t="shared" si="12"/>
        <v>0.3014294194750199</v>
      </c>
      <c r="C21">
        <f t="shared" si="0"/>
        <v>0.3317672780642811</v>
      </c>
      <c r="D21">
        <f t="shared" si="1"/>
        <v>0.31866650120175777</v>
      </c>
      <c r="E21">
        <f t="shared" si="2"/>
        <v>0.29522163289149606</v>
      </c>
      <c r="F21">
        <f t="shared" si="3"/>
        <v>71.6</v>
      </c>
      <c r="G21">
        <f t="shared" si="8"/>
        <v>1.8706526098198086</v>
      </c>
      <c r="H21">
        <f t="shared" si="4"/>
        <v>1.6995941658482792</v>
      </c>
      <c r="I21">
        <f t="shared" si="5"/>
        <v>1.769466599378804</v>
      </c>
      <c r="J21">
        <f t="shared" si="6"/>
        <v>1.909987844368631</v>
      </c>
      <c r="P21" s="10">
        <f>Z17</f>
        <v>0.99</v>
      </c>
      <c r="Q21">
        <v>0.6</v>
      </c>
      <c r="R21">
        <v>4</v>
      </c>
      <c r="S21">
        <v>40</v>
      </c>
      <c r="T21">
        <v>50</v>
      </c>
      <c r="U21" s="6">
        <v>0</v>
      </c>
      <c r="V21">
        <v>76</v>
      </c>
      <c r="W21">
        <f aca="true" t="shared" si="13" ref="W21:W29">(V21+40)*5/9-40</f>
        <v>24.444444444444443</v>
      </c>
      <c r="X21" s="5">
        <v>0.4479166666666667</v>
      </c>
      <c r="Y21" s="6">
        <f aca="true" t="shared" si="14" ref="Y21:Y29">(R21/(1+Q21))/(R21/(1+Q21)+T21)</f>
        <v>0.047619047619047616</v>
      </c>
      <c r="Z21" s="6">
        <f aca="true" t="shared" si="15" ref="Z21:Z29">((R21*Q21/(1+Q21))+S21)/(R21/(1+Q21)+T21)</f>
        <v>0.7904761904761904</v>
      </c>
      <c r="AA21">
        <f>-LN(P21*Y21)/uall_ave(W21,Z21,U21,$J$5,Y21*$AA$17)</f>
        <v>5.962211392862779</v>
      </c>
      <c r="AB21" s="7">
        <f aca="true" t="shared" si="16" ref="AB21:AB29">X21+AA21/24</f>
        <v>0.6963421413692825</v>
      </c>
      <c r="AC21" s="7">
        <v>0.75</v>
      </c>
      <c r="AD21" s="6">
        <f aca="true" t="shared" si="17" ref="AD21:AD29">(AC21-AB21)*24/AA21</f>
        <v>0.21599177256257646</v>
      </c>
      <c r="AE21">
        <v>1</v>
      </c>
      <c r="AF21">
        <f>AD21^2</f>
        <v>0.046652445814723754</v>
      </c>
      <c r="AG21">
        <f>gluten_quality(Z21,U21,$AA$17*Y21)</f>
        <v>0.9525044951983621</v>
      </c>
      <c r="AH21">
        <f>stiff_h(Z21)</f>
        <v>0.9827364706160097</v>
      </c>
      <c r="AI21">
        <f>stiff_xi(U21)</f>
        <v>0.8925</v>
      </c>
      <c r="AJ21">
        <f>glutenrot($AA$17*Y21)</f>
        <v>0.9904575518810537</v>
      </c>
      <c r="AK21">
        <f>AH21*AI21*AJ21</f>
        <v>0.8687226922562747</v>
      </c>
    </row>
    <row r="22" spans="1:37" ht="12.75">
      <c r="A22">
        <v>23</v>
      </c>
      <c r="B22">
        <f t="shared" si="12"/>
        <v>0.33641675821420086</v>
      </c>
      <c r="C22">
        <f t="shared" si="0"/>
        <v>0.3727015541005194</v>
      </c>
      <c r="D22">
        <f t="shared" si="1"/>
        <v>0.35674722148552185</v>
      </c>
      <c r="E22">
        <f t="shared" si="2"/>
        <v>0.3310636017444244</v>
      </c>
      <c r="F22">
        <f t="shared" si="3"/>
        <v>73.4</v>
      </c>
      <c r="G22">
        <f t="shared" si="8"/>
        <v>1.6761047612806277</v>
      </c>
      <c r="H22">
        <f t="shared" si="4"/>
        <v>1.5129256210864563</v>
      </c>
      <c r="I22">
        <f t="shared" si="5"/>
        <v>1.5805861861219843</v>
      </c>
      <c r="J22">
        <f t="shared" si="6"/>
        <v>1.7032066565043713</v>
      </c>
      <c r="P22">
        <f>P21</f>
        <v>0.99</v>
      </c>
      <c r="Q22">
        <v>0.6</v>
      </c>
      <c r="R22">
        <v>4</v>
      </c>
      <c r="S22">
        <v>30</v>
      </c>
      <c r="T22">
        <v>50</v>
      </c>
      <c r="U22" s="6">
        <v>0</v>
      </c>
      <c r="V22">
        <v>76</v>
      </c>
      <c r="W22">
        <f t="shared" si="13"/>
        <v>24.444444444444443</v>
      </c>
      <c r="X22" s="5">
        <v>0.4583333333333333</v>
      </c>
      <c r="Y22" s="6">
        <f t="shared" si="14"/>
        <v>0.047619047619047616</v>
      </c>
      <c r="Z22" s="6">
        <f t="shared" si="15"/>
        <v>0.6</v>
      </c>
      <c r="AA22">
        <f aca="true" t="shared" si="18" ref="AA22:AA29">-LN(P22*Y22)/uall_ave(W22,Z22,U22,$J$5,Y22*$AA$17)</f>
        <v>6.000765029771787</v>
      </c>
      <c r="AB22" s="7">
        <f t="shared" si="16"/>
        <v>0.7083652095738244</v>
      </c>
      <c r="AC22" s="7">
        <v>0.7326388888888888</v>
      </c>
      <c r="AD22" s="6">
        <f t="shared" si="17"/>
        <v>0.09708233878034403</v>
      </c>
      <c r="AE22">
        <v>1</v>
      </c>
      <c r="AF22">
        <f aca="true" t="shared" si="19" ref="AF22:AF29">AD22^2</f>
        <v>0.00942498050306149</v>
      </c>
      <c r="AG22">
        <f aca="true" t="shared" si="20" ref="AG22:AG29">gluten_quality(Z22,U22,$AA$17*Y22)</f>
        <v>0.995809537912358</v>
      </c>
      <c r="AH22">
        <f aca="true" t="shared" si="21" ref="AH22:AH29">stiff_h(Z22)</f>
        <v>1.1583919671196055</v>
      </c>
      <c r="AI22">
        <f aca="true" t="shared" si="22" ref="AI22:AI29">stiff_xi(U22)</f>
        <v>0.8925</v>
      </c>
      <c r="AJ22">
        <f aca="true" t="shared" si="23" ref="AJ22:AJ29">glutenrot($AA$17*Y22)</f>
        <v>0.9904575518810537</v>
      </c>
      <c r="AK22">
        <f aca="true" t="shared" si="24" ref="AK22:AK29">AH22*AI22*AJ22</f>
        <v>1.0239992291457263</v>
      </c>
    </row>
    <row r="23" spans="1:37" ht="12.75">
      <c r="A23">
        <f>A21+2</f>
        <v>24</v>
      </c>
      <c r="B23">
        <f t="shared" si="12"/>
        <v>0.37368153445185026</v>
      </c>
      <c r="C23">
        <f t="shared" si="0"/>
        <v>0.416133949349657</v>
      </c>
      <c r="D23">
        <f t="shared" si="1"/>
        <v>0.39722395646130076</v>
      </c>
      <c r="E23">
        <f t="shared" si="2"/>
        <v>0.3647467202652246</v>
      </c>
      <c r="F23">
        <f t="shared" si="3"/>
        <v>75.2</v>
      </c>
      <c r="G23">
        <f t="shared" si="8"/>
        <v>1.5089579715105557</v>
      </c>
      <c r="H23">
        <f t="shared" si="4"/>
        <v>1.3550197745188624</v>
      </c>
      <c r="I23">
        <f t="shared" si="5"/>
        <v>1.4195259904278972</v>
      </c>
      <c r="J23">
        <f t="shared" si="6"/>
        <v>1.5459213171468669</v>
      </c>
      <c r="P23">
        <f aca="true" t="shared" si="25" ref="P23:P29">$P$21</f>
        <v>0.99</v>
      </c>
      <c r="Q23">
        <v>0.6</v>
      </c>
      <c r="R23">
        <v>4</v>
      </c>
      <c r="S23">
        <v>36</v>
      </c>
      <c r="T23">
        <v>40</v>
      </c>
      <c r="U23" s="6">
        <v>0</v>
      </c>
      <c r="V23">
        <v>76</v>
      </c>
      <c r="W23">
        <f t="shared" si="13"/>
        <v>24.444444444444443</v>
      </c>
      <c r="X23" s="5">
        <v>0.46875</v>
      </c>
      <c r="Y23" s="6">
        <f t="shared" si="14"/>
        <v>0.058823529411764705</v>
      </c>
      <c r="Z23" s="6">
        <f t="shared" si="15"/>
        <v>0.8823529411764706</v>
      </c>
      <c r="AA23">
        <f t="shared" si="18"/>
        <v>5.592292002194268</v>
      </c>
      <c r="AB23" s="7">
        <f t="shared" si="16"/>
        <v>0.7017621667580946</v>
      </c>
      <c r="AC23" s="7">
        <v>0.7395833333333334</v>
      </c>
      <c r="AD23" s="6">
        <f t="shared" si="17"/>
        <v>0.1623141276331012</v>
      </c>
      <c r="AE23">
        <v>1</v>
      </c>
      <c r="AF23">
        <f t="shared" si="19"/>
        <v>0.02634587602929467</v>
      </c>
      <c r="AG23">
        <f t="shared" si="20"/>
        <v>0.9339312000732647</v>
      </c>
      <c r="AH23">
        <f t="shared" si="21"/>
        <v>0.960284712880171</v>
      </c>
      <c r="AI23">
        <f t="shared" si="22"/>
        <v>0.8925</v>
      </c>
      <c r="AJ23">
        <f t="shared" si="23"/>
        <v>0.9861879557577244</v>
      </c>
      <c r="AK23">
        <f t="shared" si="24"/>
        <v>0.8452164370120651</v>
      </c>
    </row>
    <row r="24" spans="1:37" ht="12.75">
      <c r="A24">
        <v>25</v>
      </c>
      <c r="B24">
        <f t="shared" si="12"/>
        <v>0.4128637994123349</v>
      </c>
      <c r="C24">
        <f t="shared" si="0"/>
        <v>0.46145270847606384</v>
      </c>
      <c r="D24">
        <f t="shared" si="1"/>
        <v>0.4396184341292044</v>
      </c>
      <c r="E24">
        <f t="shared" si="2"/>
        <v>0.39359492875047725</v>
      </c>
      <c r="F24">
        <f t="shared" si="3"/>
        <v>77</v>
      </c>
      <c r="G24">
        <f t="shared" si="8"/>
        <v>1.365752412829657</v>
      </c>
      <c r="H24">
        <f t="shared" si="4"/>
        <v>1.22194478407025</v>
      </c>
      <c r="I24">
        <f t="shared" si="5"/>
        <v>1.2826344084827295</v>
      </c>
      <c r="J24">
        <f t="shared" si="6"/>
        <v>1.4326143174849841</v>
      </c>
      <c r="P24">
        <f>P23</f>
        <v>0.99</v>
      </c>
      <c r="Q24">
        <v>0.6</v>
      </c>
      <c r="R24">
        <v>4</v>
      </c>
      <c r="S24">
        <v>30</v>
      </c>
      <c r="T24">
        <v>50</v>
      </c>
      <c r="U24" s="6">
        <v>0.02</v>
      </c>
      <c r="V24">
        <v>76</v>
      </c>
      <c r="W24">
        <f t="shared" si="13"/>
        <v>24.444444444444443</v>
      </c>
      <c r="X24" s="5">
        <v>0.4791666666666667</v>
      </c>
      <c r="Y24" s="6">
        <f t="shared" si="14"/>
        <v>0.047619047619047616</v>
      </c>
      <c r="Z24" s="6">
        <f t="shared" si="15"/>
        <v>0.6</v>
      </c>
      <c r="AA24">
        <f t="shared" si="18"/>
        <v>8.092731845327206</v>
      </c>
      <c r="AB24" s="7">
        <f t="shared" si="16"/>
        <v>0.8163638268886336</v>
      </c>
      <c r="AC24" s="7">
        <v>0.9166666666666666</v>
      </c>
      <c r="AD24" s="6">
        <f t="shared" si="17"/>
        <v>0.2974605115654195</v>
      </c>
      <c r="AE24">
        <v>0.6</v>
      </c>
      <c r="AF24">
        <f t="shared" si="19"/>
        <v>0.08848275594076109</v>
      </c>
      <c r="AG24">
        <f t="shared" si="20"/>
        <v>0.8620531144093049</v>
      </c>
      <c r="AH24">
        <f t="shared" si="21"/>
        <v>1.1583919671196055</v>
      </c>
      <c r="AI24">
        <f t="shared" si="22"/>
        <v>1.0286846928902336</v>
      </c>
      <c r="AJ24">
        <f t="shared" si="23"/>
        <v>0.9904575518810537</v>
      </c>
      <c r="AK24">
        <f t="shared" si="24"/>
        <v>1.1802491121048824</v>
      </c>
    </row>
    <row r="25" spans="1:37" ht="12.75">
      <c r="A25">
        <f>A23+2</f>
        <v>26</v>
      </c>
      <c r="B25">
        <f t="shared" si="7"/>
        <v>0.45341264052908836</v>
      </c>
      <c r="C25">
        <f t="shared" si="0"/>
        <v>0.5077602933186129</v>
      </c>
      <c r="D25">
        <f t="shared" si="1"/>
        <v>0.4832164759072209</v>
      </c>
      <c r="E25">
        <f t="shared" si="2"/>
        <v>0.41434652259514065</v>
      </c>
      <c r="F25">
        <f t="shared" si="3"/>
        <v>78.8</v>
      </c>
      <c r="G25">
        <f t="shared" si="8"/>
        <v>1.2436127267193846</v>
      </c>
      <c r="H25">
        <f t="shared" si="4"/>
        <v>1.1105037901488586</v>
      </c>
      <c r="I25">
        <f t="shared" si="5"/>
        <v>1.1669091563129577</v>
      </c>
      <c r="J25">
        <f t="shared" si="6"/>
        <v>1.3608651200588808</v>
      </c>
      <c r="P25">
        <f t="shared" si="25"/>
        <v>0.99</v>
      </c>
      <c r="Q25">
        <v>0.6</v>
      </c>
      <c r="R25">
        <v>16</v>
      </c>
      <c r="S25">
        <v>30</v>
      </c>
      <c r="T25">
        <v>50</v>
      </c>
      <c r="U25" s="6">
        <v>0.02</v>
      </c>
      <c r="V25">
        <v>76</v>
      </c>
      <c r="W25">
        <f t="shared" si="13"/>
        <v>24.444444444444443</v>
      </c>
      <c r="X25" s="5">
        <v>0.4895833333333333</v>
      </c>
      <c r="Y25" s="6">
        <f t="shared" si="14"/>
        <v>0.16666666666666666</v>
      </c>
      <c r="Z25" s="6">
        <f t="shared" si="15"/>
        <v>0.6</v>
      </c>
      <c r="AA25">
        <f t="shared" si="18"/>
        <v>4.525995494911898</v>
      </c>
      <c r="AB25" s="7">
        <f t="shared" si="16"/>
        <v>0.6781664789546624</v>
      </c>
      <c r="AC25" s="7">
        <v>0.6701388888888888</v>
      </c>
      <c r="AD25" s="6">
        <f t="shared" si="17"/>
        <v>-0.0425679083850516</v>
      </c>
      <c r="AE25">
        <v>1</v>
      </c>
      <c r="AF25">
        <f t="shared" si="19"/>
        <v>0.0018120268242781466</v>
      </c>
      <c r="AG25">
        <f t="shared" si="20"/>
        <v>0.9626617696735181</v>
      </c>
      <c r="AH25">
        <f t="shared" si="21"/>
        <v>1.1583919671196055</v>
      </c>
      <c r="AI25">
        <f t="shared" si="22"/>
        <v>1.0286846928902336</v>
      </c>
      <c r="AJ25">
        <f t="shared" si="23"/>
        <v>0.9145368521568734</v>
      </c>
      <c r="AK25">
        <f t="shared" si="24"/>
        <v>1.089780481450627</v>
      </c>
    </row>
    <row r="26" spans="1:37" ht="12.75">
      <c r="A26">
        <f t="shared" si="11"/>
        <v>28</v>
      </c>
      <c r="B26">
        <f t="shared" si="7"/>
        <v>0.5351623065207162</v>
      </c>
      <c r="C26">
        <f t="shared" si="0"/>
        <v>0.5979621058385518</v>
      </c>
      <c r="D26">
        <f t="shared" si="1"/>
        <v>0.5696591885366408</v>
      </c>
      <c r="E26">
        <f t="shared" si="2"/>
        <v>0.4167604967009479</v>
      </c>
      <c r="F26">
        <f t="shared" si="3"/>
        <v>82.4</v>
      </c>
      <c r="G26">
        <f t="shared" si="8"/>
        <v>1.0536424620099591</v>
      </c>
      <c r="H26">
        <f t="shared" si="4"/>
        <v>0.942985725536359</v>
      </c>
      <c r="I26">
        <f t="shared" si="5"/>
        <v>0.9898369789591263</v>
      </c>
      <c r="J26">
        <f t="shared" si="6"/>
        <v>1.3529826715367126</v>
      </c>
      <c r="P26">
        <f t="shared" si="25"/>
        <v>0.99</v>
      </c>
      <c r="Q26">
        <v>0.6</v>
      </c>
      <c r="R26">
        <v>16</v>
      </c>
      <c r="S26">
        <v>30</v>
      </c>
      <c r="T26">
        <v>50</v>
      </c>
      <c r="U26" s="6">
        <v>0</v>
      </c>
      <c r="V26">
        <v>76</v>
      </c>
      <c r="W26">
        <f t="shared" si="13"/>
        <v>24.444444444444443</v>
      </c>
      <c r="X26" s="5">
        <v>0.5</v>
      </c>
      <c r="Y26" s="6">
        <f t="shared" si="14"/>
        <v>0.16666666666666666</v>
      </c>
      <c r="Z26" s="6">
        <f t="shared" si="15"/>
        <v>0.6</v>
      </c>
      <c r="AA26">
        <f t="shared" si="18"/>
        <v>3.7578133220020744</v>
      </c>
      <c r="AB26" s="7">
        <f t="shared" si="16"/>
        <v>0.6565755550834198</v>
      </c>
      <c r="AC26" s="7">
        <v>0.6666666666666666</v>
      </c>
      <c r="AD26" s="6">
        <f t="shared" si="17"/>
        <v>0.06444883160638018</v>
      </c>
      <c r="AE26">
        <v>1</v>
      </c>
      <c r="AF26">
        <f t="shared" si="19"/>
        <v>0.0041536518954275485</v>
      </c>
      <c r="AG26">
        <f t="shared" si="20"/>
        <v>0.9931306113477205</v>
      </c>
      <c r="AH26">
        <f t="shared" si="21"/>
        <v>1.1583919671196055</v>
      </c>
      <c r="AI26">
        <f t="shared" si="22"/>
        <v>0.8925</v>
      </c>
      <c r="AJ26">
        <f t="shared" si="23"/>
        <v>0.9145368521568734</v>
      </c>
      <c r="AK26">
        <f t="shared" si="24"/>
        <v>0.9455074877822347</v>
      </c>
    </row>
    <row r="27" spans="1:37" ht="12.75">
      <c r="A27">
        <f t="shared" si="11"/>
        <v>30</v>
      </c>
      <c r="B27">
        <f t="shared" si="7"/>
        <v>0.6087696575542761</v>
      </c>
      <c r="C27">
        <f t="shared" si="0"/>
        <v>0.6715987026686902</v>
      </c>
      <c r="D27">
        <f t="shared" si="1"/>
        <v>0.6439967110317067</v>
      </c>
      <c r="E27">
        <f t="shared" si="2"/>
        <v>0.345824510180368</v>
      </c>
      <c r="F27">
        <f t="shared" si="3"/>
        <v>86</v>
      </c>
      <c r="G27">
        <f t="shared" si="8"/>
        <v>0.9262448008377336</v>
      </c>
      <c r="H27">
        <f t="shared" si="4"/>
        <v>0.8395932392019246</v>
      </c>
      <c r="I27">
        <f t="shared" si="5"/>
        <v>0.8755785869062522</v>
      </c>
      <c r="J27">
        <f t="shared" si="6"/>
        <v>1.6305082885054165</v>
      </c>
      <c r="P27">
        <f t="shared" si="25"/>
        <v>0.99</v>
      </c>
      <c r="Q27">
        <v>0.6</v>
      </c>
      <c r="R27">
        <v>9.6</v>
      </c>
      <c r="S27">
        <v>38</v>
      </c>
      <c r="T27">
        <v>40</v>
      </c>
      <c r="U27" s="6">
        <v>0</v>
      </c>
      <c r="V27">
        <v>76</v>
      </c>
      <c r="W27">
        <f t="shared" si="13"/>
        <v>24.444444444444443</v>
      </c>
      <c r="X27" s="5">
        <v>0.5104166666666666</v>
      </c>
      <c r="Y27" s="6">
        <f t="shared" si="14"/>
        <v>0.13043478260869562</v>
      </c>
      <c r="Z27" s="6">
        <f t="shared" si="15"/>
        <v>0.9043478260869565</v>
      </c>
      <c r="AA27">
        <f t="shared" si="18"/>
        <v>4.318179706579577</v>
      </c>
      <c r="AB27" s="7">
        <f t="shared" si="16"/>
        <v>0.6903408211074823</v>
      </c>
      <c r="AC27" s="7">
        <v>0.7465277777777778</v>
      </c>
      <c r="AD27" s="6">
        <f t="shared" si="17"/>
        <v>0.31228134346340725</v>
      </c>
      <c r="AE27">
        <v>0.6</v>
      </c>
      <c r="AF27">
        <f t="shared" si="19"/>
        <v>0.09751963747531052</v>
      </c>
      <c r="AG27">
        <f t="shared" si="20"/>
        <v>0.8947037176566797</v>
      </c>
      <c r="AH27">
        <f t="shared" si="21"/>
        <v>0.9526529846596268</v>
      </c>
      <c r="AI27">
        <f t="shared" si="22"/>
        <v>0.8925</v>
      </c>
      <c r="AJ27">
        <f t="shared" si="23"/>
        <v>0.9443478360427796</v>
      </c>
      <c r="AK27">
        <f t="shared" si="24"/>
        <v>0.8029249377224899</v>
      </c>
    </row>
    <row r="28" spans="1:37" ht="12.75">
      <c r="A28">
        <f t="shared" si="11"/>
        <v>32</v>
      </c>
      <c r="B28">
        <f t="shared" si="7"/>
        <v>0.6575539581129858</v>
      </c>
      <c r="C28">
        <f t="shared" si="0"/>
        <v>0.7057734006600332</v>
      </c>
      <c r="D28">
        <f t="shared" si="1"/>
        <v>0.686440741633487</v>
      </c>
      <c r="E28">
        <f t="shared" si="2"/>
        <v>0.20199439775073996</v>
      </c>
      <c r="F28">
        <f t="shared" si="3"/>
        <v>89.6</v>
      </c>
      <c r="G28">
        <f t="shared" si="8"/>
        <v>0.8575261744839616</v>
      </c>
      <c r="H28">
        <f t="shared" si="4"/>
        <v>0.7989387665929173</v>
      </c>
      <c r="I28">
        <f t="shared" si="5"/>
        <v>0.8214397777084218</v>
      </c>
      <c r="J28">
        <f t="shared" si="6"/>
        <v>2.791511727534286</v>
      </c>
      <c r="P28">
        <f t="shared" si="25"/>
        <v>0.99</v>
      </c>
      <c r="Q28">
        <v>0.6</v>
      </c>
      <c r="R28">
        <v>8</v>
      </c>
      <c r="S28">
        <v>24</v>
      </c>
      <c r="T28">
        <v>40</v>
      </c>
      <c r="U28" s="6">
        <v>0</v>
      </c>
      <c r="V28">
        <v>79</v>
      </c>
      <c r="W28">
        <f t="shared" si="13"/>
        <v>26.111111111111114</v>
      </c>
      <c r="X28" s="5">
        <v>0.4375</v>
      </c>
      <c r="Y28" s="6">
        <f t="shared" si="14"/>
        <v>0.1111111111111111</v>
      </c>
      <c r="Z28" s="6">
        <f t="shared" si="15"/>
        <v>0.6</v>
      </c>
      <c r="AA28">
        <f t="shared" si="18"/>
        <v>3.8858940625156966</v>
      </c>
      <c r="AB28" s="7">
        <f t="shared" si="16"/>
        <v>0.5994122526048207</v>
      </c>
      <c r="AC28" s="7">
        <v>0.6180555555555556</v>
      </c>
      <c r="AD28" s="6">
        <f t="shared" si="17"/>
        <v>0.11514448505782714</v>
      </c>
      <c r="AE28">
        <v>1</v>
      </c>
      <c r="AF28">
        <f t="shared" si="19"/>
        <v>0.013258252439232177</v>
      </c>
      <c r="AG28">
        <f t="shared" si="20"/>
        <v>0.9999996645261845</v>
      </c>
      <c r="AH28">
        <f t="shared" si="21"/>
        <v>1.1583919671196055</v>
      </c>
      <c r="AI28">
        <f t="shared" si="22"/>
        <v>0.8925</v>
      </c>
      <c r="AJ28">
        <f t="shared" si="23"/>
        <v>0.9579642131028161</v>
      </c>
      <c r="AK28">
        <f t="shared" si="24"/>
        <v>0.9904055089523727</v>
      </c>
    </row>
    <row r="29" spans="1:37" ht="12.75">
      <c r="A29">
        <f t="shared" si="11"/>
        <v>34</v>
      </c>
      <c r="B29">
        <f t="shared" si="7"/>
        <v>0.6569461692332786</v>
      </c>
      <c r="C29">
        <f t="shared" si="0"/>
        <v>0.6709831478714624</v>
      </c>
      <c r="D29">
        <f t="shared" si="1"/>
        <v>0.6696262041517042</v>
      </c>
      <c r="E29">
        <f t="shared" si="2"/>
        <v>0.05004728296430462</v>
      </c>
      <c r="F29">
        <f t="shared" si="3"/>
        <v>93.19999999999999</v>
      </c>
      <c r="G29">
        <f t="shared" si="8"/>
        <v>0.8583195345754246</v>
      </c>
      <c r="H29">
        <f t="shared" si="4"/>
        <v>0.8403634756046573</v>
      </c>
      <c r="I29">
        <f t="shared" si="5"/>
        <v>0.8420664046917598</v>
      </c>
      <c r="J29">
        <f t="shared" si="6"/>
        <v>11.266740106942198</v>
      </c>
      <c r="P29">
        <f t="shared" si="25"/>
        <v>0.99</v>
      </c>
      <c r="Q29">
        <v>0.9</v>
      </c>
      <c r="R29">
        <v>9</v>
      </c>
      <c r="S29">
        <v>36</v>
      </c>
      <c r="T29">
        <v>40</v>
      </c>
      <c r="U29" s="6">
        <v>0</v>
      </c>
      <c r="V29">
        <v>79</v>
      </c>
      <c r="W29">
        <f t="shared" si="13"/>
        <v>26.111111111111114</v>
      </c>
      <c r="X29" s="5">
        <v>0.517361111111111</v>
      </c>
      <c r="Y29" s="6">
        <f t="shared" si="14"/>
        <v>0.10588235294117648</v>
      </c>
      <c r="Z29" s="6">
        <f t="shared" si="15"/>
        <v>0.9</v>
      </c>
      <c r="AA29">
        <f t="shared" si="18"/>
        <v>4.065785747937921</v>
      </c>
      <c r="AB29" s="7">
        <f t="shared" si="16"/>
        <v>0.6867688506085244</v>
      </c>
      <c r="AC29" s="7">
        <v>0.7152777777777778</v>
      </c>
      <c r="AD29" s="6">
        <f t="shared" si="17"/>
        <v>0.16828586022003228</v>
      </c>
      <c r="AE29">
        <v>1</v>
      </c>
      <c r="AF29">
        <f t="shared" si="19"/>
        <v>0.02832013074999624</v>
      </c>
      <c r="AG29">
        <f t="shared" si="20"/>
        <v>0.9102362343493198</v>
      </c>
      <c r="AH29">
        <f t="shared" si="21"/>
        <v>0.9543027684484257</v>
      </c>
      <c r="AI29">
        <f t="shared" si="22"/>
        <v>0.8925</v>
      </c>
      <c r="AJ29">
        <f t="shared" si="23"/>
        <v>0.9613646505490016</v>
      </c>
      <c r="AK29">
        <f t="shared" si="24"/>
        <v>0.8188089056503237</v>
      </c>
    </row>
    <row r="30" spans="1:9" ht="12.75">
      <c r="A30">
        <f t="shared" si="11"/>
        <v>36</v>
      </c>
      <c r="B30">
        <f t="shared" si="7"/>
        <v>0.5756502363164091</v>
      </c>
      <c r="C30">
        <f t="shared" si="0"/>
        <v>0.5390102800771949</v>
      </c>
      <c r="D30">
        <f t="shared" si="1"/>
        <v>0.5627825045758668</v>
      </c>
      <c r="E30">
        <f t="shared" si="2"/>
        <v>0</v>
      </c>
      <c r="F30">
        <f t="shared" si="3"/>
        <v>96.80000000000001</v>
      </c>
      <c r="G30">
        <f t="shared" si="8"/>
        <v>0.9795353057190129</v>
      </c>
      <c r="H30">
        <f t="shared" si="4"/>
        <v>1.0461205491974304</v>
      </c>
      <c r="I30">
        <f t="shared" si="5"/>
        <v>1.001931875338535</v>
      </c>
    </row>
    <row r="31" spans="1:32" ht="12.75">
      <c r="A31">
        <f t="shared" si="11"/>
        <v>38</v>
      </c>
      <c r="B31">
        <f t="shared" si="7"/>
        <v>0.3856092136577063</v>
      </c>
      <c r="C31">
        <f t="shared" si="0"/>
        <v>0.3066844578108128</v>
      </c>
      <c r="D31">
        <f>F$5*(F$8-$A31)^F$6*EXP(F$7*(F$8-$A31))</f>
        <v>0.3486081098145087</v>
      </c>
      <c r="E31">
        <v>0</v>
      </c>
      <c r="F31">
        <f t="shared" si="3"/>
        <v>100.4</v>
      </c>
      <c r="G31">
        <f t="shared" si="8"/>
        <v>1.4622828248029003</v>
      </c>
      <c r="H31">
        <f t="shared" si="4"/>
        <v>1.8385989764282584</v>
      </c>
      <c r="I31">
        <f t="shared" si="5"/>
        <v>1.6174888487747632</v>
      </c>
      <c r="Z31" s="8"/>
      <c r="AD31" s="6">
        <f>(SUMSQ(AD21:AD29)/COUNT(AD21:AD29))^0.5</f>
        <v>0.1873706243050227</v>
      </c>
      <c r="AF31" s="6">
        <f>(SUMPRODUCT(AE21:AE29,AF21:AF29)/SUM(AE21:AE29))^0.5</f>
        <v>0.17163801966164957</v>
      </c>
    </row>
    <row r="32" spans="1:9" ht="12.75">
      <c r="A32">
        <f t="shared" si="11"/>
        <v>40</v>
      </c>
      <c r="B32">
        <f t="shared" si="7"/>
        <v>0.10445142045910459</v>
      </c>
      <c r="C32">
        <f t="shared" si="0"/>
        <v>0.054551464827378965</v>
      </c>
      <c r="D32">
        <f>F$5*(F$8-$A32)^F$6*EXP(F$7*(F$8-$A32))</f>
        <v>0.07719825796844428</v>
      </c>
      <c r="E32">
        <v>0</v>
      </c>
      <c r="F32">
        <f t="shared" si="3"/>
        <v>104</v>
      </c>
      <c r="G32">
        <f t="shared" si="8"/>
        <v>5.398392168713352</v>
      </c>
      <c r="H32">
        <f t="shared" si="4"/>
        <v>10.336472760203753</v>
      </c>
      <c r="I32">
        <f t="shared" si="5"/>
        <v>7.304176869482008</v>
      </c>
    </row>
    <row r="33" spans="16:37" ht="12.75">
      <c r="P33">
        <f>0.89*P21</f>
        <v>0.8811</v>
      </c>
      <c r="Q33">
        <v>1</v>
      </c>
      <c r="R33">
        <v>20</v>
      </c>
      <c r="S33">
        <v>55</v>
      </c>
      <c r="T33">
        <v>90</v>
      </c>
      <c r="U33" s="6">
        <v>0.02</v>
      </c>
      <c r="V33">
        <v>75</v>
      </c>
      <c r="W33">
        <f>(V33+40)*5/9-40</f>
        <v>23.888888888888886</v>
      </c>
      <c r="X33" s="5">
        <v>0.3854166666666667</v>
      </c>
      <c r="Y33" s="6">
        <f>(R33/(1+Q33))/(R33/(1+Q33)+T33)</f>
        <v>0.1</v>
      </c>
      <c r="Z33" s="6">
        <f>((R33*Q33/(1+Q33))+S33)/(R33/(1+Q33)+T33)</f>
        <v>0.65</v>
      </c>
      <c r="AA33">
        <f aca="true" t="shared" si="26" ref="AA33:AA44">-LN(P33*Y33)/uall_ave(W33,Z33,U33,$J$5,Y33*$AA$17)</f>
        <v>5.93906893093437</v>
      </c>
      <c r="AB33" s="7">
        <f>X33+AA33/24</f>
        <v>0.6328778721222654</v>
      </c>
      <c r="AC33" s="7">
        <v>0.6666666666666666</v>
      </c>
      <c r="AD33" s="6">
        <f>(AC33-AB33)*24/AA33</f>
        <v>0.1365417843261247</v>
      </c>
      <c r="AE33">
        <v>0.6</v>
      </c>
      <c r="AF33">
        <f aca="true" t="shared" si="27" ref="AF33:AF44">AD33^2</f>
        <v>0.018643658866961954</v>
      </c>
      <c r="AG33">
        <f aca="true" t="shared" si="28" ref="AG33:AG44">gluten_quality(Z33,U33,$AA$17*Y33)</f>
        <v>0.9835345102839034</v>
      </c>
      <c r="AH33">
        <f aca="true" t="shared" si="29" ref="AH33:AH44">stiff_h(Z33)</f>
        <v>1.0644792766493198</v>
      </c>
      <c r="AI33">
        <f aca="true" t="shared" si="30" ref="AI33:AI44">stiff_xi(U33)</f>
        <v>1.0286846928902336</v>
      </c>
      <c r="AJ33">
        <f aca="true" t="shared" si="31" ref="AJ33:AJ44">glutenrot($AA$17*Y33)</f>
        <v>0.9650422418684912</v>
      </c>
      <c r="AK33">
        <f aca="true" t="shared" si="32" ref="AK33:AK44">AH33*AI33*AJ33</f>
        <v>1.0567343193833019</v>
      </c>
    </row>
    <row r="34" spans="16:37" ht="12.75">
      <c r="P34">
        <f>P33</f>
        <v>0.8811</v>
      </c>
      <c r="Q34">
        <v>1</v>
      </c>
      <c r="R34">
        <v>20</v>
      </c>
      <c r="S34">
        <v>72</v>
      </c>
      <c r="T34">
        <v>90</v>
      </c>
      <c r="U34" s="6">
        <v>0.02</v>
      </c>
      <c r="V34">
        <f>V33</f>
        <v>75</v>
      </c>
      <c r="W34">
        <f aca="true" t="shared" si="33" ref="W34:W44">(V34+40)*5/9-40</f>
        <v>23.888888888888886</v>
      </c>
      <c r="X34" s="5">
        <v>0.3888888888888889</v>
      </c>
      <c r="Y34" s="6">
        <f aca="true" t="shared" si="34" ref="Y34:Y44">(R34/(1+Q34))/(R34/(1+Q34)+T34)</f>
        <v>0.1</v>
      </c>
      <c r="Z34" s="6">
        <f aca="true" t="shared" si="35" ref="Z34:Z44">((R34*Q34/(1+Q34))+S34)/(R34/(1+Q34)+T34)</f>
        <v>0.82</v>
      </c>
      <c r="AA34">
        <f t="shared" si="26"/>
        <v>5.625520840523976</v>
      </c>
      <c r="AB34" s="7">
        <f aca="true" t="shared" si="36" ref="AB34:AB44">X34+AA34/24</f>
        <v>0.6232855905773879</v>
      </c>
      <c r="AC34" s="7">
        <v>0.6701388888888888</v>
      </c>
      <c r="AD34" s="6">
        <f aca="true" t="shared" si="37" ref="AD34:AD44">(AC34-AB34)*24/AA34</f>
        <v>0.1998888976422824</v>
      </c>
      <c r="AE34">
        <f>AE33</f>
        <v>0.6</v>
      </c>
      <c r="AF34">
        <f t="shared" si="27"/>
        <v>0.03995557140064685</v>
      </c>
      <c r="AG34">
        <f t="shared" si="28"/>
        <v>0.9984130832301092</v>
      </c>
      <c r="AH34">
        <f t="shared" si="29"/>
        <v>0.9759590371924803</v>
      </c>
      <c r="AI34">
        <f t="shared" si="30"/>
        <v>1.0286846928902336</v>
      </c>
      <c r="AJ34">
        <f t="shared" si="31"/>
        <v>0.9650422418684912</v>
      </c>
      <c r="AK34">
        <f t="shared" si="32"/>
        <v>0.9688581370601334</v>
      </c>
    </row>
    <row r="35" spans="16:37" ht="12.75">
      <c r="P35">
        <f aca="true" t="shared" si="38" ref="P35:P44">P34</f>
        <v>0.8811</v>
      </c>
      <c r="Q35">
        <v>1</v>
      </c>
      <c r="R35">
        <v>20</v>
      </c>
      <c r="S35">
        <v>90</v>
      </c>
      <c r="T35">
        <v>90</v>
      </c>
      <c r="U35" s="6">
        <v>0.02</v>
      </c>
      <c r="V35">
        <f aca="true" t="shared" si="39" ref="V35:V44">V34</f>
        <v>75</v>
      </c>
      <c r="W35">
        <f t="shared" si="33"/>
        <v>23.888888888888886</v>
      </c>
      <c r="X35" s="5">
        <v>0.3958333333333333</v>
      </c>
      <c r="Y35" s="6">
        <f t="shared" si="34"/>
        <v>0.1</v>
      </c>
      <c r="Z35" s="6">
        <f t="shared" si="35"/>
        <v>1</v>
      </c>
      <c r="AA35">
        <f t="shared" si="26"/>
        <v>5.725723982687512</v>
      </c>
      <c r="AB35" s="7">
        <f t="shared" si="36"/>
        <v>0.6344051659453129</v>
      </c>
      <c r="AC35" s="7">
        <v>0.6944444444444445</v>
      </c>
      <c r="AD35" s="6">
        <f t="shared" si="37"/>
        <v>0.251661220194344</v>
      </c>
      <c r="AE35">
        <f aca="true" t="shared" si="40" ref="AE35:AE44">AE34</f>
        <v>0.6</v>
      </c>
      <c r="AF35">
        <f t="shared" si="27"/>
        <v>0.0633333697497061</v>
      </c>
      <c r="AG35">
        <f t="shared" si="28"/>
        <v>0.9591070386676941</v>
      </c>
      <c r="AH35">
        <f t="shared" si="29"/>
        <v>0.8844215222112359</v>
      </c>
      <c r="AI35">
        <f t="shared" si="30"/>
        <v>1.0286846928902336</v>
      </c>
      <c r="AJ35">
        <f t="shared" si="31"/>
        <v>0.9650422418684912</v>
      </c>
      <c r="AK35">
        <f t="shared" si="32"/>
        <v>0.8779866323595202</v>
      </c>
    </row>
    <row r="36" spans="16:37" ht="12.75">
      <c r="P36">
        <f t="shared" si="38"/>
        <v>0.8811</v>
      </c>
      <c r="Q36">
        <v>1</v>
      </c>
      <c r="R36">
        <v>60</v>
      </c>
      <c r="S36">
        <v>35</v>
      </c>
      <c r="T36">
        <v>70</v>
      </c>
      <c r="U36" s="6">
        <v>0.02</v>
      </c>
      <c r="V36">
        <f t="shared" si="39"/>
        <v>75</v>
      </c>
      <c r="W36">
        <f t="shared" si="33"/>
        <v>23.888888888888886</v>
      </c>
      <c r="X36" s="5">
        <v>0.4131944444444444</v>
      </c>
      <c r="Y36" s="6">
        <f t="shared" si="34"/>
        <v>0.3</v>
      </c>
      <c r="Z36" s="6">
        <f t="shared" si="35"/>
        <v>0.65</v>
      </c>
      <c r="AA36">
        <f t="shared" si="26"/>
        <v>4.209716489757351</v>
      </c>
      <c r="AB36" s="7">
        <f t="shared" si="36"/>
        <v>0.5885992981843341</v>
      </c>
      <c r="AC36" s="7">
        <v>0.59375</v>
      </c>
      <c r="AD36" s="6">
        <f t="shared" si="37"/>
        <v>0.02936464816021541</v>
      </c>
      <c r="AE36">
        <f t="shared" si="40"/>
        <v>0.6</v>
      </c>
      <c r="AF36">
        <f t="shared" si="27"/>
        <v>0.0008622825615732422</v>
      </c>
      <c r="AG36">
        <f t="shared" si="28"/>
        <v>0.9235337455984576</v>
      </c>
      <c r="AH36">
        <f t="shared" si="29"/>
        <v>1.0644792766493198</v>
      </c>
      <c r="AI36">
        <f t="shared" si="30"/>
        <v>1.0286846928902336</v>
      </c>
      <c r="AJ36">
        <f t="shared" si="31"/>
        <v>0.7609406309317225</v>
      </c>
      <c r="AK36">
        <f t="shared" si="32"/>
        <v>0.8332402923231961</v>
      </c>
    </row>
    <row r="37" spans="2:37" ht="12.75">
      <c r="B37" t="s">
        <v>60</v>
      </c>
      <c r="P37">
        <f t="shared" si="38"/>
        <v>0.8811</v>
      </c>
      <c r="Q37">
        <v>1</v>
      </c>
      <c r="R37">
        <v>60</v>
      </c>
      <c r="S37">
        <v>52</v>
      </c>
      <c r="T37">
        <v>70</v>
      </c>
      <c r="U37" s="6">
        <v>0.02</v>
      </c>
      <c r="V37">
        <f t="shared" si="39"/>
        <v>75</v>
      </c>
      <c r="W37">
        <f t="shared" si="33"/>
        <v>23.888888888888886</v>
      </c>
      <c r="X37" s="5">
        <v>0.40972222222222227</v>
      </c>
      <c r="Y37" s="6">
        <f t="shared" si="34"/>
        <v>0.3</v>
      </c>
      <c r="Z37" s="6">
        <f t="shared" si="35"/>
        <v>0.82</v>
      </c>
      <c r="AA37">
        <f t="shared" si="26"/>
        <v>4.3817565384902615</v>
      </c>
      <c r="AB37" s="7">
        <f t="shared" si="36"/>
        <v>0.5922954113259832</v>
      </c>
      <c r="AC37" s="7">
        <v>0.6270833333333333</v>
      </c>
      <c r="AD37" s="6">
        <f t="shared" si="37"/>
        <v>0.19054233635355575</v>
      </c>
      <c r="AE37">
        <f t="shared" si="40"/>
        <v>0.6</v>
      </c>
      <c r="AF37">
        <f t="shared" si="27"/>
        <v>0.03630638194307157</v>
      </c>
      <c r="AG37">
        <f t="shared" si="28"/>
        <v>0.8531441291578358</v>
      </c>
      <c r="AH37">
        <f t="shared" si="29"/>
        <v>0.9759590371924803</v>
      </c>
      <c r="AI37">
        <f t="shared" si="30"/>
        <v>1.0286846928902336</v>
      </c>
      <c r="AJ37">
        <f t="shared" si="31"/>
        <v>0.7609406309317225</v>
      </c>
      <c r="AK37">
        <f t="shared" si="32"/>
        <v>0.7639494833619286</v>
      </c>
    </row>
    <row r="38" spans="2:37" ht="12.75">
      <c r="B38">
        <v>0.2</v>
      </c>
      <c r="P38">
        <f t="shared" si="38"/>
        <v>0.8811</v>
      </c>
      <c r="Q38">
        <v>1</v>
      </c>
      <c r="R38">
        <v>60</v>
      </c>
      <c r="S38">
        <v>70</v>
      </c>
      <c r="T38">
        <v>70</v>
      </c>
      <c r="U38" s="6">
        <v>0.02</v>
      </c>
      <c r="V38">
        <f t="shared" si="39"/>
        <v>75</v>
      </c>
      <c r="W38">
        <f t="shared" si="33"/>
        <v>23.888888888888886</v>
      </c>
      <c r="X38" s="5">
        <v>0.4166666666666667</v>
      </c>
      <c r="Y38" s="6">
        <f t="shared" si="34"/>
        <v>0.3</v>
      </c>
      <c r="Z38" s="6">
        <f t="shared" si="35"/>
        <v>1</v>
      </c>
      <c r="AA38">
        <f t="shared" si="26"/>
        <v>4.762752002265121</v>
      </c>
      <c r="AB38" s="7">
        <f t="shared" si="36"/>
        <v>0.6151146667610468</v>
      </c>
      <c r="AC38" s="7">
        <v>0.65625</v>
      </c>
      <c r="AD38" s="6">
        <f t="shared" si="37"/>
        <v>0.20728519924307454</v>
      </c>
      <c r="AE38">
        <f t="shared" si="40"/>
        <v>0.6</v>
      </c>
      <c r="AF38">
        <f t="shared" si="27"/>
        <v>0.042967153825241106</v>
      </c>
      <c r="AG38">
        <f t="shared" si="28"/>
        <v>0.7674271629607733</v>
      </c>
      <c r="AH38">
        <f t="shared" si="29"/>
        <v>0.8844215222112359</v>
      </c>
      <c r="AI38">
        <f t="shared" si="30"/>
        <v>1.0286846928902336</v>
      </c>
      <c r="AJ38">
        <f t="shared" si="31"/>
        <v>0.7609406309317225</v>
      </c>
      <c r="AK38">
        <f t="shared" si="32"/>
        <v>0.6922968477356194</v>
      </c>
    </row>
    <row r="39" spans="1:37" ht="12.75">
      <c r="A39" t="s">
        <v>10</v>
      </c>
      <c r="B39" t="s">
        <v>18</v>
      </c>
      <c r="C39" t="s">
        <v>49</v>
      </c>
      <c r="D39" t="s">
        <v>19</v>
      </c>
      <c r="E39" t="s">
        <v>60</v>
      </c>
      <c r="F39" t="s">
        <v>61</v>
      </c>
      <c r="G39" t="s">
        <v>62</v>
      </c>
      <c r="H39" t="s">
        <v>63</v>
      </c>
      <c r="I39" t="s">
        <v>72</v>
      </c>
      <c r="P39">
        <f t="shared" si="38"/>
        <v>0.8811</v>
      </c>
      <c r="Q39">
        <v>1</v>
      </c>
      <c r="R39">
        <v>40</v>
      </c>
      <c r="S39">
        <v>45</v>
      </c>
      <c r="T39">
        <v>80</v>
      </c>
      <c r="U39" s="6">
        <v>0</v>
      </c>
      <c r="V39">
        <f t="shared" si="39"/>
        <v>75</v>
      </c>
      <c r="W39">
        <f t="shared" si="33"/>
        <v>23.888888888888886</v>
      </c>
      <c r="X39" s="5">
        <v>0.4375</v>
      </c>
      <c r="Y39" s="6">
        <f t="shared" si="34"/>
        <v>0.2</v>
      </c>
      <c r="Z39" s="6">
        <f t="shared" si="35"/>
        <v>0.65</v>
      </c>
      <c r="AA39">
        <f t="shared" si="26"/>
        <v>4.126963814851349</v>
      </c>
      <c r="AB39" s="7">
        <f t="shared" si="36"/>
        <v>0.6094568256188062</v>
      </c>
      <c r="AC39" s="7">
        <v>0.625</v>
      </c>
      <c r="AD39" s="6">
        <f t="shared" si="37"/>
        <v>0.0903899820507846</v>
      </c>
      <c r="AE39">
        <f t="shared" si="40"/>
        <v>0.6</v>
      </c>
      <c r="AF39">
        <f t="shared" si="27"/>
        <v>0.008170348855141164</v>
      </c>
      <c r="AG39">
        <f t="shared" si="28"/>
        <v>0.9280325995906332</v>
      </c>
      <c r="AH39">
        <f t="shared" si="29"/>
        <v>1.0644792766493198</v>
      </c>
      <c r="AI39">
        <f t="shared" si="30"/>
        <v>0.8925</v>
      </c>
      <c r="AJ39">
        <f t="shared" si="31"/>
        <v>0.8824165860076315</v>
      </c>
      <c r="AK39">
        <f t="shared" si="32"/>
        <v>0.8383378959902635</v>
      </c>
    </row>
    <row r="40" spans="1:37" ht="12.75">
      <c r="A40">
        <v>0.5</v>
      </c>
      <c r="B40">
        <f aca="true" t="shared" si="41" ref="B40:B54">uh(A40,$B$38)</f>
        <v>0.8604387574913911</v>
      </c>
      <c r="C40" s="6">
        <v>0</v>
      </c>
      <c r="D40">
        <f>ui(C40)</f>
        <v>1</v>
      </c>
      <c r="E40">
        <v>0.01</v>
      </c>
      <c r="F40">
        <f>glutenrot(E40)</f>
        <v>0.999409692324792</v>
      </c>
      <c r="G40">
        <f>stiff_h(A40)</f>
        <v>1.7408161322897466</v>
      </c>
      <c r="H40">
        <f>stiff_xi(C40)</f>
        <v>0.8925</v>
      </c>
      <c r="I40">
        <f>ph_slowdown(E40)</f>
        <v>0.9997959183673469</v>
      </c>
      <c r="P40">
        <f t="shared" si="38"/>
        <v>0.8811</v>
      </c>
      <c r="Q40">
        <v>1</v>
      </c>
      <c r="R40">
        <v>40</v>
      </c>
      <c r="S40">
        <v>62</v>
      </c>
      <c r="T40">
        <v>80</v>
      </c>
      <c r="U40" s="6">
        <v>0</v>
      </c>
      <c r="V40">
        <f t="shared" si="39"/>
        <v>75</v>
      </c>
      <c r="W40">
        <f t="shared" si="33"/>
        <v>23.888888888888886</v>
      </c>
      <c r="X40" s="5">
        <v>0.43402777777777773</v>
      </c>
      <c r="Y40" s="6">
        <f t="shared" si="34"/>
        <v>0.2</v>
      </c>
      <c r="Z40" s="6">
        <f t="shared" si="35"/>
        <v>0.82</v>
      </c>
      <c r="AA40">
        <f t="shared" si="26"/>
        <v>4.2903300631600105</v>
      </c>
      <c r="AB40" s="7">
        <f t="shared" si="36"/>
        <v>0.6127915304094449</v>
      </c>
      <c r="AC40" s="7">
        <v>0.642361111111111</v>
      </c>
      <c r="AD40" s="6">
        <f t="shared" si="37"/>
        <v>0.16541150130470045</v>
      </c>
      <c r="AE40">
        <f t="shared" si="40"/>
        <v>0.6</v>
      </c>
      <c r="AF40">
        <f t="shared" si="27"/>
        <v>0.02736096476387492</v>
      </c>
      <c r="AG40">
        <f t="shared" si="28"/>
        <v>0.8583575293449461</v>
      </c>
      <c r="AH40">
        <f t="shared" si="29"/>
        <v>0.9759590371924803</v>
      </c>
      <c r="AI40">
        <f t="shared" si="30"/>
        <v>0.8925</v>
      </c>
      <c r="AJ40">
        <f t="shared" si="31"/>
        <v>0.8824165860076315</v>
      </c>
      <c r="AK40">
        <f t="shared" si="32"/>
        <v>0.768623179201795</v>
      </c>
    </row>
    <row r="41" spans="1:37" ht="12.75">
      <c r="A41">
        <f>+A40+0.05</f>
        <v>0.55</v>
      </c>
      <c r="B41">
        <f t="shared" si="41"/>
        <v>0.8818639587134355</v>
      </c>
      <c r="C41" s="6">
        <f>C40+0.002</f>
        <v>0.002</v>
      </c>
      <c r="D41">
        <f aca="true" t="shared" si="42" ref="D41:D54">ui(C41)</f>
        <v>0.9959570857389316</v>
      </c>
      <c r="E41">
        <f>E40+0.02</f>
        <v>0.03</v>
      </c>
      <c r="F41">
        <f aca="true" t="shared" si="43" ref="F41:F60">glutenrot(E41)</f>
        <v>0.9959631684657666</v>
      </c>
      <c r="G41">
        <f aca="true" t="shared" si="44" ref="G41:G54">stiff_h(A41)</f>
        <v>1.349855453772327</v>
      </c>
      <c r="H41">
        <f aca="true" t="shared" si="45" ref="H41:H54">stiff_xi(C41)</f>
        <v>0.9210499063902178</v>
      </c>
      <c r="I41">
        <f aca="true" t="shared" si="46" ref="I41:I60">ph_slowdown(E41)</f>
        <v>0.9981632653061224</v>
      </c>
      <c r="P41">
        <f t="shared" si="38"/>
        <v>0.8811</v>
      </c>
      <c r="Q41">
        <v>1</v>
      </c>
      <c r="R41">
        <v>40</v>
      </c>
      <c r="S41">
        <v>80</v>
      </c>
      <c r="T41">
        <v>80</v>
      </c>
      <c r="U41" s="6">
        <v>0</v>
      </c>
      <c r="V41">
        <f t="shared" si="39"/>
        <v>75</v>
      </c>
      <c r="W41">
        <f t="shared" si="33"/>
        <v>23.888888888888886</v>
      </c>
      <c r="X41" s="5">
        <v>0.44097222222222227</v>
      </c>
      <c r="Y41" s="6">
        <f t="shared" si="34"/>
        <v>0.2</v>
      </c>
      <c r="Z41" s="6">
        <f t="shared" si="35"/>
        <v>1</v>
      </c>
      <c r="AA41">
        <f t="shared" si="26"/>
        <v>4.659675704854073</v>
      </c>
      <c r="AB41" s="7">
        <f t="shared" si="36"/>
        <v>0.635125376591142</v>
      </c>
      <c r="AC41" s="7">
        <v>0.6770833333333334</v>
      </c>
      <c r="AD41" s="6">
        <f t="shared" si="37"/>
        <v>0.21610752026446636</v>
      </c>
      <c r="AE41">
        <f t="shared" si="40"/>
        <v>0.6</v>
      </c>
      <c r="AF41">
        <f t="shared" si="27"/>
        <v>0.04670246031485674</v>
      </c>
      <c r="AG41">
        <f t="shared" si="28"/>
        <v>0.7727299020229008</v>
      </c>
      <c r="AH41">
        <f t="shared" si="29"/>
        <v>0.8844215222112359</v>
      </c>
      <c r="AI41">
        <f t="shared" si="30"/>
        <v>0.8925</v>
      </c>
      <c r="AJ41">
        <f t="shared" si="31"/>
        <v>0.8824165860076315</v>
      </c>
      <c r="AK41">
        <f t="shared" si="32"/>
        <v>0.6965321865475204</v>
      </c>
    </row>
    <row r="42" spans="1:37" ht="12.75">
      <c r="A42">
        <f aca="true" t="shared" si="47" ref="A42:A54">+A41+0.05</f>
        <v>0.6000000000000001</v>
      </c>
      <c r="B42">
        <f t="shared" si="41"/>
        <v>0.9</v>
      </c>
      <c r="C42" s="6">
        <f aca="true" t="shared" si="48" ref="C42:C54">C41+0.002</f>
        <v>0.004</v>
      </c>
      <c r="D42">
        <f t="shared" si="42"/>
        <v>0.9881616541208703</v>
      </c>
      <c r="E42">
        <f aca="true" t="shared" si="49" ref="E42:E60">E41+0.02</f>
        <v>0.05</v>
      </c>
      <c r="F42">
        <f t="shared" si="43"/>
        <v>0.9901309366312874</v>
      </c>
      <c r="G42">
        <f t="shared" si="44"/>
        <v>1.1583919671196052</v>
      </c>
      <c r="H42">
        <f t="shared" si="45"/>
        <v>0.9444245927493868</v>
      </c>
      <c r="I42">
        <f t="shared" si="46"/>
        <v>0.9948979591836735</v>
      </c>
      <c r="P42">
        <f t="shared" si="38"/>
        <v>0.8811</v>
      </c>
      <c r="Q42">
        <v>1</v>
      </c>
      <c r="R42">
        <f>50/3</f>
        <v>16.666666666666668</v>
      </c>
      <c r="S42">
        <v>57</v>
      </c>
      <c r="T42">
        <f>275/3</f>
        <v>91.66666666666667</v>
      </c>
      <c r="U42" s="6">
        <v>0</v>
      </c>
      <c r="V42">
        <f t="shared" si="39"/>
        <v>75</v>
      </c>
      <c r="W42">
        <f t="shared" si="33"/>
        <v>23.888888888888886</v>
      </c>
      <c r="X42" s="5">
        <v>0.4513888888888889</v>
      </c>
      <c r="Y42" s="6">
        <f t="shared" si="34"/>
        <v>0.08333333333333334</v>
      </c>
      <c r="Z42" s="6">
        <f t="shared" si="35"/>
        <v>0.6533333333333333</v>
      </c>
      <c r="AA42">
        <f t="shared" si="26"/>
        <v>5.42187148767487</v>
      </c>
      <c r="AB42" s="7">
        <f t="shared" si="36"/>
        <v>0.6773002008753418</v>
      </c>
      <c r="AC42" s="7">
        <v>0.6979166666666666</v>
      </c>
      <c r="AD42" s="6">
        <f t="shared" si="37"/>
        <v>0.0912591123040404</v>
      </c>
      <c r="AE42">
        <f t="shared" si="40"/>
        <v>0.6</v>
      </c>
      <c r="AF42">
        <f t="shared" si="27"/>
        <v>0.008328225578521456</v>
      </c>
      <c r="AG42">
        <f t="shared" si="28"/>
        <v>0.9844028113405736</v>
      </c>
      <c r="AH42">
        <f t="shared" si="29"/>
        <v>1.0602773493676945</v>
      </c>
      <c r="AI42">
        <f t="shared" si="30"/>
        <v>0.8925</v>
      </c>
      <c r="AJ42">
        <f t="shared" si="31"/>
        <v>0.9745916541286062</v>
      </c>
      <c r="AK42">
        <f t="shared" si="32"/>
        <v>0.9222536792616547</v>
      </c>
    </row>
    <row r="43" spans="1:37" ht="12.75">
      <c r="A43">
        <f t="shared" si="47"/>
        <v>0.6500000000000001</v>
      </c>
      <c r="B43">
        <f t="shared" si="41"/>
        <v>0.9153518275109387</v>
      </c>
      <c r="C43" s="6">
        <f t="shared" si="48"/>
        <v>0.006</v>
      </c>
      <c r="D43">
        <f t="shared" si="42"/>
        <v>0.9778061587080442</v>
      </c>
      <c r="E43">
        <f t="shared" si="49"/>
        <v>0.07</v>
      </c>
      <c r="F43">
        <f t="shared" si="43"/>
        <v>0.9822172058996108</v>
      </c>
      <c r="G43">
        <f t="shared" si="44"/>
        <v>1.0644792766493198</v>
      </c>
      <c r="H43">
        <f t="shared" si="45"/>
        <v>0.9635621673151908</v>
      </c>
      <c r="I43">
        <f t="shared" si="46"/>
        <v>0.99</v>
      </c>
      <c r="P43">
        <f t="shared" si="38"/>
        <v>0.8811</v>
      </c>
      <c r="Q43">
        <v>1</v>
      </c>
      <c r="R43">
        <f>50/3</f>
        <v>16.666666666666668</v>
      </c>
      <c r="S43">
        <v>74</v>
      </c>
      <c r="T43">
        <f>275/3</f>
        <v>91.66666666666667</v>
      </c>
      <c r="U43" s="6">
        <v>0</v>
      </c>
      <c r="V43">
        <f t="shared" si="39"/>
        <v>75</v>
      </c>
      <c r="W43">
        <f t="shared" si="33"/>
        <v>23.888888888888886</v>
      </c>
      <c r="X43" s="5">
        <v>0.4548611111111111</v>
      </c>
      <c r="Y43" s="6">
        <f t="shared" si="34"/>
        <v>0.08333333333333334</v>
      </c>
      <c r="Z43" s="6">
        <f t="shared" si="35"/>
        <v>0.8233333333333333</v>
      </c>
      <c r="AA43">
        <f t="shared" si="26"/>
        <v>5.482637577999807</v>
      </c>
      <c r="AB43" s="7">
        <f t="shared" si="36"/>
        <v>0.6833043435277697</v>
      </c>
      <c r="AC43" s="7">
        <v>0.7013888888888888</v>
      </c>
      <c r="AD43" s="6">
        <f t="shared" si="37"/>
        <v>0.07916428589197451</v>
      </c>
      <c r="AE43">
        <f t="shared" si="40"/>
        <v>0.6</v>
      </c>
      <c r="AF43">
        <f t="shared" si="27"/>
        <v>0.006266984160786275</v>
      </c>
      <c r="AG43">
        <f t="shared" si="28"/>
        <v>0.9364811829994708</v>
      </c>
      <c r="AH43">
        <f t="shared" si="29"/>
        <v>0.9752164023406933</v>
      </c>
      <c r="AI43">
        <f t="shared" si="30"/>
        <v>0.8925</v>
      </c>
      <c r="AJ43">
        <f t="shared" si="31"/>
        <v>0.9745916541286062</v>
      </c>
      <c r="AK43">
        <f t="shared" si="32"/>
        <v>0.8482657067713288</v>
      </c>
    </row>
    <row r="44" spans="1:37" ht="12.75">
      <c r="A44">
        <f t="shared" si="47"/>
        <v>0.7000000000000002</v>
      </c>
      <c r="B44">
        <f t="shared" si="41"/>
        <v>0.9283468689426212</v>
      </c>
      <c r="C44" s="6">
        <f t="shared" si="48"/>
        <v>0.008</v>
      </c>
      <c r="D44">
        <f t="shared" si="42"/>
        <v>0.9653352942694187</v>
      </c>
      <c r="E44">
        <f t="shared" si="49"/>
        <v>0.09000000000000001</v>
      </c>
      <c r="F44">
        <f t="shared" si="43"/>
        <v>0.9723940420899319</v>
      </c>
      <c r="G44">
        <f t="shared" si="44"/>
        <v>1.0180612136131317</v>
      </c>
      <c r="H44">
        <f t="shared" si="45"/>
        <v>0.9792306881515377</v>
      </c>
      <c r="I44">
        <f t="shared" si="46"/>
        <v>0.9834693877551021</v>
      </c>
      <c r="P44">
        <f t="shared" si="38"/>
        <v>0.8811</v>
      </c>
      <c r="Q44">
        <v>1</v>
      </c>
      <c r="R44">
        <f>50/3</f>
        <v>16.666666666666668</v>
      </c>
      <c r="S44">
        <v>92</v>
      </c>
      <c r="T44">
        <f>275/3</f>
        <v>91.66666666666667</v>
      </c>
      <c r="U44" s="6">
        <v>0</v>
      </c>
      <c r="V44">
        <f t="shared" si="39"/>
        <v>75</v>
      </c>
      <c r="W44">
        <f t="shared" si="33"/>
        <v>23.888888888888886</v>
      </c>
      <c r="X44" s="5">
        <v>0.4583333333333333</v>
      </c>
      <c r="Y44" s="6">
        <f t="shared" si="34"/>
        <v>0.08333333333333334</v>
      </c>
      <c r="Z44" s="6">
        <f t="shared" si="35"/>
        <v>1.0033333333333332</v>
      </c>
      <c r="AA44">
        <f t="shared" si="26"/>
        <v>5.871804882706585</v>
      </c>
      <c r="AB44" s="7">
        <f t="shared" si="36"/>
        <v>0.7029918701127744</v>
      </c>
      <c r="AC44" s="7">
        <v>0.7083333333333334</v>
      </c>
      <c r="AD44" s="6">
        <f t="shared" si="37"/>
        <v>0.021832318998025662</v>
      </c>
      <c r="AE44">
        <f t="shared" si="40"/>
        <v>0.6</v>
      </c>
      <c r="AF44">
        <f t="shared" si="27"/>
        <v>0.0004766501528315522</v>
      </c>
      <c r="AG44">
        <f t="shared" si="28"/>
        <v>0.8551722765406805</v>
      </c>
      <c r="AH44">
        <f t="shared" si="29"/>
        <v>0.8803648167238768</v>
      </c>
      <c r="AI44">
        <f t="shared" si="30"/>
        <v>0.8925</v>
      </c>
      <c r="AJ44">
        <f t="shared" si="31"/>
        <v>0.9745916541286062</v>
      </c>
      <c r="AK44">
        <f t="shared" si="32"/>
        <v>0.7657616111485386</v>
      </c>
    </row>
    <row r="45" spans="1:9" ht="12.75">
      <c r="A45">
        <f t="shared" si="47"/>
        <v>0.7500000000000002</v>
      </c>
      <c r="B45">
        <f t="shared" si="41"/>
        <v>0.9393469340287367</v>
      </c>
      <c r="C45" s="6">
        <f t="shared" si="48"/>
        <v>0.01</v>
      </c>
      <c r="D45">
        <f t="shared" si="42"/>
        <v>0.9510110605095441</v>
      </c>
      <c r="E45">
        <f t="shared" si="49"/>
        <v>0.11000000000000001</v>
      </c>
      <c r="F45">
        <f t="shared" si="43"/>
        <v>0.9607792739516707</v>
      </c>
      <c r="G45">
        <f t="shared" si="44"/>
        <v>0.9943192387171621</v>
      </c>
      <c r="H45">
        <f t="shared" si="45"/>
        <v>0.9920589880154979</v>
      </c>
      <c r="I45">
        <f t="shared" si="46"/>
        <v>0.9753061224489796</v>
      </c>
    </row>
    <row r="46" spans="1:32" ht="12.75">
      <c r="A46">
        <f t="shared" si="47"/>
        <v>0.8000000000000003</v>
      </c>
      <c r="B46">
        <f t="shared" si="41"/>
        <v>0.9486582880967409</v>
      </c>
      <c r="C46" s="6">
        <f t="shared" si="48"/>
        <v>0.012</v>
      </c>
      <c r="D46">
        <f t="shared" si="42"/>
        <v>0.9350126288527203</v>
      </c>
      <c r="E46">
        <f t="shared" si="49"/>
        <v>0.13</v>
      </c>
      <c r="F46">
        <f t="shared" si="43"/>
        <v>0.947461303149428</v>
      </c>
      <c r="G46">
        <f t="shared" si="44"/>
        <v>0.9804768668986481</v>
      </c>
      <c r="H46">
        <f t="shared" si="45"/>
        <v>1.0025619116238282</v>
      </c>
      <c r="I46">
        <f t="shared" si="46"/>
        <v>0.9655102040816327</v>
      </c>
      <c r="AD46" s="6">
        <f>(SUMSQ(AD33:AD44)/COUNT(AD33:AD44))^0.5</f>
        <v>0.157948845140131</v>
      </c>
      <c r="AF46" s="6">
        <f>(SUMPRODUCT(AE33:AE44,AF33:AF44)/SUM(AE33:AE44))^0.5</f>
        <v>0.157948845140131</v>
      </c>
    </row>
    <row r="47" spans="1:9" ht="12.75">
      <c r="A47">
        <f t="shared" si="47"/>
        <v>0.8500000000000003</v>
      </c>
      <c r="B47">
        <f t="shared" si="41"/>
        <v>0.9565401791492922</v>
      </c>
      <c r="C47" s="6">
        <f t="shared" si="48"/>
        <v>0.014</v>
      </c>
      <c r="D47">
        <f t="shared" si="42"/>
        <v>0.9174729172927683</v>
      </c>
      <c r="E47">
        <f t="shared" si="49"/>
        <v>0.15</v>
      </c>
      <c r="F47">
        <f t="shared" si="43"/>
        <v>0.9325102012164572</v>
      </c>
      <c r="G47">
        <f t="shared" si="44"/>
        <v>0.9690840619630494</v>
      </c>
      <c r="H47">
        <f t="shared" si="45"/>
        <v>1.011160978179197</v>
      </c>
      <c r="I47">
        <f t="shared" si="46"/>
        <v>0.9540816326530612</v>
      </c>
    </row>
    <row r="48" spans="1:37" ht="12.75">
      <c r="A48">
        <f t="shared" si="47"/>
        <v>0.9000000000000004</v>
      </c>
      <c r="B48">
        <f t="shared" si="41"/>
        <v>0.9632120558828559</v>
      </c>
      <c r="C48" s="6">
        <f t="shared" si="48"/>
        <v>0.016</v>
      </c>
      <c r="D48">
        <f t="shared" si="42"/>
        <v>0.8984958003713831</v>
      </c>
      <c r="E48">
        <f t="shared" si="49"/>
        <v>0.16999999999999998</v>
      </c>
      <c r="F48">
        <f t="shared" si="43"/>
        <v>0.915983605073577</v>
      </c>
      <c r="G48">
        <f t="shared" si="44"/>
        <v>0.9543027684484255</v>
      </c>
      <c r="H48">
        <f t="shared" si="45"/>
        <v>1.018201298415842</v>
      </c>
      <c r="I48">
        <f t="shared" si="46"/>
        <v>0.9410204081632653</v>
      </c>
      <c r="P48">
        <f>P21</f>
        <v>0.99</v>
      </c>
      <c r="Q48">
        <v>0.6</v>
      </c>
      <c r="R48">
        <v>8</v>
      </c>
      <c r="S48">
        <v>90</v>
      </c>
      <c r="T48">
        <v>100</v>
      </c>
      <c r="U48" s="6">
        <v>0.02</v>
      </c>
      <c r="V48">
        <v>75.5</v>
      </c>
      <c r="W48">
        <f aca="true" t="shared" si="50" ref="W48:W53">(V48+40)*5/9-40</f>
        <v>24.16666666666667</v>
      </c>
      <c r="X48" s="5">
        <v>0.4756944444444444</v>
      </c>
      <c r="Y48" s="6">
        <f aca="true" t="shared" si="51" ref="Y48:Y53">(R48/(1+Q48))/(R48/(1+Q48)+T48)</f>
        <v>0.047619047619047616</v>
      </c>
      <c r="Z48" s="6">
        <f aca="true" t="shared" si="52" ref="Z48:Z53">((R48*Q48/(1+Q48))+S48)/(R48/(1+Q48)+T48)</f>
        <v>0.8857142857142857</v>
      </c>
      <c r="AA48">
        <f aca="true" t="shared" si="53" ref="AA48:AA53">-LN(P48*Y48)/uall_ave(W48,Z48,U48,$J$5,Y48*$AA$17)</f>
        <v>6.701382223729038</v>
      </c>
      <c r="AB48" s="7">
        <f aca="true" t="shared" si="54" ref="AB48:AB53">X48+AA48/24</f>
        <v>0.7549187037664877</v>
      </c>
      <c r="AC48" s="7">
        <v>0.7951388888888888</v>
      </c>
      <c r="AD48" s="6">
        <f aca="true" t="shared" si="55" ref="AD48:AD53">(AC48-AB48)*24/AA48</f>
        <v>0.14404258863486918</v>
      </c>
      <c r="AE48">
        <v>2</v>
      </c>
      <c r="AF48">
        <f aca="true" t="shared" si="56" ref="AF48:AF53">AD48^2</f>
        <v>0.020748267340634147</v>
      </c>
      <c r="AG48">
        <f aca="true" t="shared" si="57" ref="AG48:AG53">gluten_quality(Z48,U48,$AA$17*Y48)</f>
        <v>0.9994224523624691</v>
      </c>
      <c r="AH48">
        <f aca="true" t="shared" si="58" ref="AH48:AH53">stiff_h(Z48)</f>
        <v>0.9592249056487567</v>
      </c>
      <c r="AI48">
        <f aca="true" t="shared" si="59" ref="AI48:AI53">stiff_xi(U48)</f>
        <v>1.0286846928902336</v>
      </c>
      <c r="AJ48">
        <f aca="true" t="shared" si="60" ref="AJ48:AJ53">glutenrot($AA$17*Y48)</f>
        <v>0.9904575518810537</v>
      </c>
      <c r="AK48">
        <f aca="true" t="shared" si="61" ref="AK48:AK53">AH48*AI48*AJ48</f>
        <v>0.9773240624379618</v>
      </c>
    </row>
    <row r="49" spans="1:37" ht="12.75">
      <c r="A49">
        <f t="shared" si="47"/>
        <v>0.9500000000000004</v>
      </c>
      <c r="B49">
        <f t="shared" si="41"/>
        <v>0.9688596776085403</v>
      </c>
      <c r="C49" s="6">
        <f t="shared" si="48"/>
        <v>0.018000000000000002</v>
      </c>
      <c r="D49">
        <f t="shared" si="42"/>
        <v>0.8781654619699131</v>
      </c>
      <c r="E49">
        <f t="shared" si="49"/>
        <v>0.18999999999999997</v>
      </c>
      <c r="F49">
        <f t="shared" si="43"/>
        <v>0.897930207556927</v>
      </c>
      <c r="G49">
        <f t="shared" si="44"/>
        <v>0.929397836864742</v>
      </c>
      <c r="H49">
        <f t="shared" si="45"/>
        <v>1.0239654251051002</v>
      </c>
      <c r="I49">
        <f t="shared" si="46"/>
        <v>0.9263265306122449</v>
      </c>
      <c r="P49">
        <f>P48</f>
        <v>0.99</v>
      </c>
      <c r="Q49">
        <v>0.6</v>
      </c>
      <c r="R49">
        <v>8</v>
      </c>
      <c r="S49">
        <v>70</v>
      </c>
      <c r="T49">
        <v>100</v>
      </c>
      <c r="U49" s="6">
        <v>0.02</v>
      </c>
      <c r="V49">
        <v>75.5</v>
      </c>
      <c r="W49">
        <f t="shared" si="50"/>
        <v>24.16666666666667</v>
      </c>
      <c r="X49" s="5">
        <v>0.4875</v>
      </c>
      <c r="Y49" s="6">
        <f t="shared" si="51"/>
        <v>0.047619047619047616</v>
      </c>
      <c r="Z49" s="6">
        <f t="shared" si="52"/>
        <v>0.6952380952380952</v>
      </c>
      <c r="AA49">
        <f t="shared" si="53"/>
        <v>7.010198601235939</v>
      </c>
      <c r="AB49" s="7">
        <f t="shared" si="54"/>
        <v>0.7795916083848308</v>
      </c>
      <c r="AC49" s="7">
        <v>0.825</v>
      </c>
      <c r="AD49" s="6">
        <f t="shared" si="55"/>
        <v>0.15545941859220966</v>
      </c>
      <c r="AE49">
        <v>2</v>
      </c>
      <c r="AF49">
        <f t="shared" si="56"/>
        <v>0.024167630829027863</v>
      </c>
      <c r="AG49">
        <f t="shared" si="57"/>
        <v>0.9906533867203055</v>
      </c>
      <c r="AH49">
        <f t="shared" si="58"/>
        <v>1.021233229311176</v>
      </c>
      <c r="AI49">
        <f t="shared" si="59"/>
        <v>1.0286846928902336</v>
      </c>
      <c r="AJ49">
        <f t="shared" si="60"/>
        <v>0.9904575518810537</v>
      </c>
      <c r="AK49">
        <f t="shared" si="61"/>
        <v>1.040502391555403</v>
      </c>
    </row>
    <row r="50" spans="1:37" ht="12.75">
      <c r="A50">
        <f t="shared" si="47"/>
        <v>1.0000000000000004</v>
      </c>
      <c r="B50">
        <f t="shared" si="41"/>
        <v>0.9736402861884274</v>
      </c>
      <c r="C50" s="6">
        <f t="shared" si="48"/>
        <v>0.020000000000000004</v>
      </c>
      <c r="D50">
        <f t="shared" si="42"/>
        <v>0.8565519888649555</v>
      </c>
      <c r="E50">
        <f t="shared" si="49"/>
        <v>0.20999999999999996</v>
      </c>
      <c r="F50">
        <f t="shared" si="43"/>
        <v>0.8783919860673669</v>
      </c>
      <c r="G50">
        <f t="shared" si="44"/>
        <v>0.8844215222112355</v>
      </c>
      <c r="H50">
        <f t="shared" si="45"/>
        <v>1.0286846928902336</v>
      </c>
      <c r="I50">
        <f t="shared" si="46"/>
        <v>0.91</v>
      </c>
      <c r="P50">
        <f>P49</f>
        <v>0.99</v>
      </c>
      <c r="Q50">
        <v>0.6</v>
      </c>
      <c r="R50">
        <v>8</v>
      </c>
      <c r="S50">
        <v>90</v>
      </c>
      <c r="T50">
        <v>100</v>
      </c>
      <c r="U50" s="6">
        <v>0</v>
      </c>
      <c r="V50">
        <v>75.5</v>
      </c>
      <c r="W50">
        <f t="shared" si="50"/>
        <v>24.16666666666667</v>
      </c>
      <c r="X50" s="5">
        <v>0.5006944444444444</v>
      </c>
      <c r="Y50" s="6">
        <f t="shared" si="51"/>
        <v>0.047619047619047616</v>
      </c>
      <c r="Z50" s="6">
        <f t="shared" si="52"/>
        <v>0.8857142857142857</v>
      </c>
      <c r="AA50">
        <f t="shared" si="53"/>
        <v>6.127651246701358</v>
      </c>
      <c r="AB50" s="7">
        <f t="shared" si="54"/>
        <v>0.7560132463903344</v>
      </c>
      <c r="AC50" s="7">
        <v>0.8055555555555555</v>
      </c>
      <c r="AD50" s="6">
        <f t="shared" si="55"/>
        <v>0.1940409746075835</v>
      </c>
      <c r="AE50">
        <v>2</v>
      </c>
      <c r="AF50">
        <f t="shared" si="56"/>
        <v>0.03765189982666086</v>
      </c>
      <c r="AG50">
        <f t="shared" si="57"/>
        <v>0.9362097922939446</v>
      </c>
      <c r="AH50">
        <f t="shared" si="58"/>
        <v>0.9592249056487567</v>
      </c>
      <c r="AI50">
        <f t="shared" si="59"/>
        <v>0.8925</v>
      </c>
      <c r="AJ50">
        <f t="shared" si="60"/>
        <v>0.9904575518810537</v>
      </c>
      <c r="AK50">
        <f t="shared" si="61"/>
        <v>0.8479388599388404</v>
      </c>
    </row>
    <row r="51" spans="1:37" ht="12.75">
      <c r="A51">
        <f t="shared" si="47"/>
        <v>1.0500000000000005</v>
      </c>
      <c r="B51">
        <f t="shared" si="41"/>
        <v>0.9776869839851571</v>
      </c>
      <c r="C51" s="6">
        <f t="shared" si="48"/>
        <v>0.022000000000000006</v>
      </c>
      <c r="D51">
        <f t="shared" si="42"/>
        <v>0.8337149546346485</v>
      </c>
      <c r="E51">
        <f t="shared" si="49"/>
        <v>0.22999999999999995</v>
      </c>
      <c r="F51">
        <f t="shared" si="43"/>
        <v>0.857405707409202</v>
      </c>
      <c r="G51">
        <f t="shared" si="44"/>
        <v>0.8034100496697911</v>
      </c>
      <c r="H51">
        <f t="shared" si="45"/>
        <v>1.0325485025579324</v>
      </c>
      <c r="I51">
        <f t="shared" si="46"/>
        <v>0.8920408163265307</v>
      </c>
      <c r="P51">
        <f>P50</f>
        <v>0.99</v>
      </c>
      <c r="Q51">
        <v>0.6</v>
      </c>
      <c r="R51">
        <v>8</v>
      </c>
      <c r="S51">
        <v>70</v>
      </c>
      <c r="T51">
        <v>100</v>
      </c>
      <c r="U51" s="6">
        <v>0</v>
      </c>
      <c r="V51">
        <v>75.5</v>
      </c>
      <c r="W51">
        <f t="shared" si="50"/>
        <v>24.16666666666667</v>
      </c>
      <c r="X51" s="5">
        <v>0.513888888888889</v>
      </c>
      <c r="Y51" s="6">
        <f t="shared" si="51"/>
        <v>0.047619047619047616</v>
      </c>
      <c r="Z51" s="6">
        <f t="shared" si="52"/>
        <v>0.6952380952380952</v>
      </c>
      <c r="AA51">
        <f t="shared" si="53"/>
        <v>6.10355541402931</v>
      </c>
      <c r="AB51" s="7">
        <f t="shared" si="54"/>
        <v>0.7682036978067768</v>
      </c>
      <c r="AC51" s="7">
        <v>0.8055555555555555</v>
      </c>
      <c r="AD51" s="6">
        <f t="shared" si="55"/>
        <v>0.14687252349838073</v>
      </c>
      <c r="AE51">
        <v>2</v>
      </c>
      <c r="AF51">
        <f t="shared" si="56"/>
        <v>0.021571538158782398</v>
      </c>
      <c r="AG51">
        <f t="shared" si="57"/>
        <v>0.9745920993231804</v>
      </c>
      <c r="AH51">
        <f t="shared" si="58"/>
        <v>1.021233229311176</v>
      </c>
      <c r="AI51">
        <f t="shared" si="59"/>
        <v>0.8925</v>
      </c>
      <c r="AJ51">
        <f t="shared" si="60"/>
        <v>0.9904575518810537</v>
      </c>
      <c r="AK51">
        <f t="shared" si="61"/>
        <v>0.9027531865512937</v>
      </c>
    </row>
    <row r="52" spans="1:37" ht="12.75">
      <c r="A52">
        <f t="shared" si="47"/>
        <v>1.1000000000000005</v>
      </c>
      <c r="B52">
        <f t="shared" si="41"/>
        <v>0.9811124397162438</v>
      </c>
      <c r="C52" s="6">
        <f t="shared" si="48"/>
        <v>0.024000000000000007</v>
      </c>
      <c r="D52">
        <f t="shared" si="42"/>
        <v>0.8097058389723166</v>
      </c>
      <c r="E52">
        <f t="shared" si="49"/>
        <v>0.24999999999999994</v>
      </c>
      <c r="F52">
        <f t="shared" si="43"/>
        <v>0.8350039888243876</v>
      </c>
      <c r="G52">
        <f t="shared" si="44"/>
        <v>0.6605021764907223</v>
      </c>
      <c r="H52">
        <f t="shared" si="45"/>
        <v>1.0357119223569176</v>
      </c>
      <c r="I52">
        <f t="shared" si="46"/>
        <v>0.8724489795918368</v>
      </c>
      <c r="P52">
        <f>P51</f>
        <v>0.99</v>
      </c>
      <c r="Q52">
        <v>0.9</v>
      </c>
      <c r="R52">
        <v>9</v>
      </c>
      <c r="S52">
        <v>36</v>
      </c>
      <c r="T52">
        <v>40</v>
      </c>
      <c r="U52" s="6">
        <v>0</v>
      </c>
      <c r="V52">
        <v>79</v>
      </c>
      <c r="W52">
        <f t="shared" si="50"/>
        <v>26.111111111111114</v>
      </c>
      <c r="X52" s="5">
        <v>0.5243055555555556</v>
      </c>
      <c r="Y52" s="6">
        <f t="shared" si="51"/>
        <v>0.10588235294117648</v>
      </c>
      <c r="Z52" s="6">
        <f t="shared" si="52"/>
        <v>0.9</v>
      </c>
      <c r="AA52">
        <f t="shared" si="53"/>
        <v>4.065785747937921</v>
      </c>
      <c r="AB52" s="7">
        <f t="shared" si="54"/>
        <v>0.693713295052969</v>
      </c>
      <c r="AC52" s="7">
        <v>0.7180555555555556</v>
      </c>
      <c r="AD52" s="6">
        <f t="shared" si="55"/>
        <v>0.14369036842592578</v>
      </c>
      <c r="AE52">
        <v>0.75</v>
      </c>
      <c r="AF52">
        <f t="shared" si="56"/>
        <v>0.020646921978378287</v>
      </c>
      <c r="AG52">
        <f t="shared" si="57"/>
        <v>0.9102362343493198</v>
      </c>
      <c r="AH52">
        <f t="shared" si="58"/>
        <v>0.9543027684484257</v>
      </c>
      <c r="AI52">
        <f t="shared" si="59"/>
        <v>0.8925</v>
      </c>
      <c r="AJ52">
        <f t="shared" si="60"/>
        <v>0.9613646505490016</v>
      </c>
      <c r="AK52">
        <f t="shared" si="61"/>
        <v>0.8188089056503237</v>
      </c>
    </row>
    <row r="53" spans="1:37" ht="12.75">
      <c r="A53">
        <f t="shared" si="47"/>
        <v>1.1500000000000006</v>
      </c>
      <c r="B53">
        <f t="shared" si="41"/>
        <v>0.9840120253920306</v>
      </c>
      <c r="C53" s="6">
        <f t="shared" si="48"/>
        <v>0.02600000000000001</v>
      </c>
      <c r="D53">
        <f t="shared" si="42"/>
        <v>0.7845697292153946</v>
      </c>
      <c r="E53">
        <f t="shared" si="49"/>
        <v>0.26999999999999996</v>
      </c>
      <c r="F53">
        <f t="shared" si="43"/>
        <v>0.8112160723900093</v>
      </c>
      <c r="G53">
        <f t="shared" si="44"/>
        <v>0.4143433677024422</v>
      </c>
      <c r="H53">
        <f t="shared" si="45"/>
        <v>1.0383019114312424</v>
      </c>
      <c r="I53">
        <f t="shared" si="46"/>
        <v>0.8512244897959184</v>
      </c>
      <c r="P53">
        <f>P52</f>
        <v>0.99</v>
      </c>
      <c r="Q53">
        <v>0.6</v>
      </c>
      <c r="R53">
        <v>8</v>
      </c>
      <c r="S53">
        <v>24</v>
      </c>
      <c r="T53">
        <v>40</v>
      </c>
      <c r="U53" s="6">
        <v>0</v>
      </c>
      <c r="V53">
        <v>79</v>
      </c>
      <c r="W53">
        <f t="shared" si="50"/>
        <v>26.111111111111114</v>
      </c>
      <c r="X53" s="5">
        <v>0.5416666666666666</v>
      </c>
      <c r="Y53" s="6">
        <f t="shared" si="51"/>
        <v>0.1111111111111111</v>
      </c>
      <c r="Z53" s="6">
        <f t="shared" si="52"/>
        <v>0.6</v>
      </c>
      <c r="AA53">
        <f t="shared" si="53"/>
        <v>3.8858940625156966</v>
      </c>
      <c r="AB53" s="7">
        <f t="shared" si="54"/>
        <v>0.7035789192714873</v>
      </c>
      <c r="AC53" s="7">
        <v>0.7326388888888888</v>
      </c>
      <c r="AD53" s="6">
        <f t="shared" si="55"/>
        <v>0.17947974381116308</v>
      </c>
      <c r="AE53">
        <v>1</v>
      </c>
      <c r="AF53">
        <f t="shared" si="56"/>
        <v>0.03221297843852073</v>
      </c>
      <c r="AG53">
        <f t="shared" si="57"/>
        <v>0.9999996645261845</v>
      </c>
      <c r="AH53">
        <f t="shared" si="58"/>
        <v>1.1583919671196055</v>
      </c>
      <c r="AI53">
        <f t="shared" si="59"/>
        <v>0.8925</v>
      </c>
      <c r="AJ53">
        <f t="shared" si="60"/>
        <v>0.9579642131028161</v>
      </c>
      <c r="AK53">
        <f t="shared" si="61"/>
        <v>0.9904055089523727</v>
      </c>
    </row>
    <row r="54" spans="1:9" ht="12.75">
      <c r="A54">
        <f t="shared" si="47"/>
        <v>1.2000000000000006</v>
      </c>
      <c r="B54">
        <f t="shared" si="41"/>
        <v>0.9864664716763387</v>
      </c>
      <c r="C54" s="6">
        <f t="shared" si="48"/>
        <v>0.02800000000000001</v>
      </c>
      <c r="D54">
        <f t="shared" si="42"/>
        <v>0.7583465573604407</v>
      </c>
      <c r="E54">
        <f t="shared" si="49"/>
        <v>0.29</v>
      </c>
      <c r="F54">
        <f t="shared" si="43"/>
        <v>0.78606840639446</v>
      </c>
      <c r="G54">
        <f t="shared" si="44"/>
        <v>-5.6290314612647E-15</v>
      </c>
      <c r="H54">
        <f t="shared" si="45"/>
        <v>1.0404224151365282</v>
      </c>
      <c r="I54">
        <f t="shared" si="46"/>
        <v>0.8283673469387756</v>
      </c>
    </row>
    <row r="55" spans="5:32" ht="12.75">
      <c r="E55">
        <f t="shared" si="49"/>
        <v>0.31</v>
      </c>
      <c r="F55">
        <f t="shared" si="43"/>
        <v>0.7595850921934595</v>
      </c>
      <c r="I55">
        <f t="shared" si="46"/>
        <v>0.8038775510204081</v>
      </c>
      <c r="AD55" s="6">
        <f>(SUMSQ(AD48:AD51)/COUNT(AD48:AD51))^0.5</f>
        <v>0.16135313457995265</v>
      </c>
      <c r="AF55" s="6">
        <f>(SUMPRODUCT(AE48:AE53,AF48:AF53)/SUM(AE48:AE53))^0.5</f>
        <v>0.16203096957301333</v>
      </c>
    </row>
    <row r="56" spans="5:9" ht="12.75">
      <c r="E56">
        <f t="shared" si="49"/>
        <v>0.33</v>
      </c>
      <c r="F56">
        <f t="shared" si="43"/>
        <v>0.7317882345818298</v>
      </c>
      <c r="I56">
        <f t="shared" si="46"/>
        <v>0.7777551020408162</v>
      </c>
    </row>
    <row r="57" spans="5:37" ht="12.75">
      <c r="E57">
        <f t="shared" si="49"/>
        <v>0.35000000000000003</v>
      </c>
      <c r="F57">
        <f t="shared" si="43"/>
        <v>0.7026982212493196</v>
      </c>
      <c r="I57">
        <f t="shared" si="46"/>
        <v>0.7499999999999999</v>
      </c>
      <c r="P57">
        <f>P53</f>
        <v>0.99</v>
      </c>
      <c r="Q57">
        <v>0.9</v>
      </c>
      <c r="R57">
        <v>19</v>
      </c>
      <c r="S57">
        <v>45</v>
      </c>
      <c r="T57">
        <v>50</v>
      </c>
      <c r="U57" s="6">
        <v>0</v>
      </c>
      <c r="V57">
        <v>76</v>
      </c>
      <c r="W57">
        <f>(V57+40)*5/9-40</f>
        <v>24.444444444444443</v>
      </c>
      <c r="X57" s="5">
        <v>0.5368055555555555</v>
      </c>
      <c r="Y57" s="6">
        <f>(R57/(1+Q57))/(R57/(1+Q57)+T57)</f>
        <v>0.16666666666666666</v>
      </c>
      <c r="Z57" s="6">
        <f>((R57*Q57/(1+Q57))+S57)/(R57/(1+Q57)+T57)</f>
        <v>0.9</v>
      </c>
      <c r="AA57">
        <f>-LN(P57*Y57)/uall_ave(W57,Z57,U57,$J$5,Y57*$AA$17)</f>
        <v>4.009796063192331</v>
      </c>
      <c r="AB57" s="7">
        <f>X57+AA57/24</f>
        <v>0.7038803915219026</v>
      </c>
      <c r="AC57" s="7">
        <v>0.7243055555555555</v>
      </c>
      <c r="AD57" s="6">
        <f>(AC57-AB57)*24/AA57</f>
        <v>0.12225158813124333</v>
      </c>
      <c r="AE57">
        <v>5</v>
      </c>
      <c r="AF57">
        <f>AD57^2</f>
        <v>0.014945450800611155</v>
      </c>
      <c r="AG57">
        <f>gluten_quality(Z57,U57,$AA$17*Y57)</f>
        <v>0.8696407556149082</v>
      </c>
      <c r="AH57">
        <f>stiff_h(Z57)</f>
        <v>0.9543027684484257</v>
      </c>
      <c r="AI57">
        <f>stiff_xi(U57)</f>
        <v>0.8925</v>
      </c>
      <c r="AJ57">
        <f>glutenrot($AA$17*Y57)</f>
        <v>0.9145368521568734</v>
      </c>
      <c r="AK57">
        <f>AH57*AI57*AJ57</f>
        <v>0.7789249570013109</v>
      </c>
    </row>
    <row r="58" spans="5:37" ht="12.75">
      <c r="E58">
        <f t="shared" si="49"/>
        <v>0.37000000000000005</v>
      </c>
      <c r="F58">
        <f t="shared" si="43"/>
        <v>0.672333949003973</v>
      </c>
      <c r="I58">
        <f t="shared" si="46"/>
        <v>0.720612244897959</v>
      </c>
      <c r="P58">
        <f>P57</f>
        <v>0.99</v>
      </c>
      <c r="Q58">
        <v>0.6</v>
      </c>
      <c r="R58">
        <v>16</v>
      </c>
      <c r="S58">
        <v>48</v>
      </c>
      <c r="T58">
        <v>50</v>
      </c>
      <c r="U58" s="6">
        <v>0</v>
      </c>
      <c r="V58">
        <v>76</v>
      </c>
      <c r="W58">
        <f>(V58+40)*5/9-40</f>
        <v>24.444444444444443</v>
      </c>
      <c r="X58" s="5">
        <v>0.53125</v>
      </c>
      <c r="Y58" s="6">
        <f>(R58/(1+Q58))/(R58/(1+Q58)+T58)</f>
        <v>0.16666666666666666</v>
      </c>
      <c r="Z58" s="6">
        <f>((R58*Q58/(1+Q58))+S58)/(R58/(1+Q58)+T58)</f>
        <v>0.9</v>
      </c>
      <c r="AA58">
        <f>-LN(P58*Y58)/uall_ave(W58,Z58,U58,$J$5,Y58*$AA$17)</f>
        <v>4.009796063192331</v>
      </c>
      <c r="AB58" s="7">
        <f>X58+AA58/24</f>
        <v>0.6983248359663471</v>
      </c>
      <c r="AC58" s="7">
        <v>0.71875</v>
      </c>
      <c r="AD58" s="6">
        <f>(AC58-AB58)*24/AA58</f>
        <v>0.12225158813124333</v>
      </c>
      <c r="AE58">
        <v>5</v>
      </c>
      <c r="AF58">
        <f>AD58^2</f>
        <v>0.014945450800611155</v>
      </c>
      <c r="AG58">
        <f>gluten_quality(Z58,U58,$AA$17*Y58)</f>
        <v>0.8696407556149082</v>
      </c>
      <c r="AH58">
        <f>stiff_h(Z58)</f>
        <v>0.9543027684484257</v>
      </c>
      <c r="AI58">
        <f>stiff_xi(U58)</f>
        <v>0.8925</v>
      </c>
      <c r="AJ58">
        <f>glutenrot($AA$17*Y58)</f>
        <v>0.9145368521568734</v>
      </c>
      <c r="AK58">
        <f>AH58*AI58*AJ58</f>
        <v>0.7789249570013109</v>
      </c>
    </row>
    <row r="59" spans="5:37" ht="12.75">
      <c r="E59">
        <f t="shared" si="49"/>
        <v>0.39000000000000007</v>
      </c>
      <c r="F59">
        <f t="shared" si="43"/>
        <v>0.6407130092977402</v>
      </c>
      <c r="I59">
        <f t="shared" si="46"/>
        <v>0.6895918367346937</v>
      </c>
      <c r="P59">
        <f>P58</f>
        <v>0.99</v>
      </c>
      <c r="Q59">
        <v>0.9</v>
      </c>
      <c r="R59">
        <v>10</v>
      </c>
      <c r="S59">
        <v>40</v>
      </c>
      <c r="T59">
        <v>40</v>
      </c>
      <c r="U59" s="6">
        <v>0</v>
      </c>
      <c r="V59">
        <v>76</v>
      </c>
      <c r="W59">
        <f>(V59+40)*5/9-40</f>
        <v>24.444444444444443</v>
      </c>
      <c r="X59" s="5">
        <v>0.4305555555555556</v>
      </c>
      <c r="Y59" s="6">
        <f>(R59/(1+Q59))/(R59/(1+Q59)+T59)</f>
        <v>0.11627906976744187</v>
      </c>
      <c r="Z59" s="6">
        <f>((R59*Q59/(1+Q59))+S59)/(R59/(1+Q59)+T59)</f>
        <v>0.9883720930232558</v>
      </c>
      <c r="AA59">
        <f>-LN(P59*Y59)/uall_ave(W59,Z59,U59,$J$5,Y59*$AA$17)</f>
        <v>4.699066426175934</v>
      </c>
      <c r="AB59" s="7">
        <f>X59+AA59/24</f>
        <v>0.6263499899795528</v>
      </c>
      <c r="AC59" s="7">
        <v>0.6215277777777778</v>
      </c>
      <c r="AD59" s="6">
        <f>(AC59-AB59)*24/AA59</f>
        <v>-0.024628954423354162</v>
      </c>
      <c r="AE59">
        <v>5</v>
      </c>
      <c r="AF59">
        <f>AD59^2</f>
        <v>0.0006065853959876566</v>
      </c>
      <c r="AG59">
        <f>gluten_quality(Z59,U59,$AA$17*Y59)</f>
        <v>0.8537164716431896</v>
      </c>
      <c r="AH59">
        <f>stiff_h(Z59)</f>
        <v>0.8973839303388121</v>
      </c>
      <c r="AI59">
        <f>stiff_xi(U59)</f>
        <v>0.8925</v>
      </c>
      <c r="AJ59">
        <f>glutenrot($AA$17*Y59)</f>
        <v>0.9544832459484429</v>
      </c>
      <c r="AK59">
        <f>AH59*AI59*AJ59</f>
        <v>0.7644600995723965</v>
      </c>
    </row>
    <row r="60" spans="5:9" ht="12.75">
      <c r="E60">
        <f t="shared" si="49"/>
        <v>0.4100000000000001</v>
      </c>
      <c r="F60">
        <f t="shared" si="43"/>
        <v>0.6078518421322108</v>
      </c>
      <c r="I60">
        <f t="shared" si="46"/>
        <v>0.6569387755102039</v>
      </c>
    </row>
    <row r="61" ht="12.75">
      <c r="AF61" s="6">
        <f>(SUMPRODUCT(AE57:AE58,AF57:AF58)/SUM(AE57:AE58))^0.5</f>
        <v>0.12225158813124333</v>
      </c>
    </row>
    <row r="63" spans="1:2" ht="12.75">
      <c r="A63">
        <f>0</f>
        <v>0</v>
      </c>
      <c r="B63">
        <f>u_glut(A63)</f>
        <v>0.11672089159097807</v>
      </c>
    </row>
    <row r="64" spans="1:2" ht="12.75">
      <c r="A64">
        <f>A63+0.1</f>
        <v>0.1</v>
      </c>
      <c r="B64">
        <f aca="true" t="shared" si="62" ref="B64:B84">u_glut(A64)</f>
        <v>0.16414209443768374</v>
      </c>
    </row>
    <row r="65" spans="1:2" ht="12.75">
      <c r="A65">
        <f aca="true" t="shared" si="63" ref="A65:A84">A64+0.1</f>
        <v>0.2</v>
      </c>
      <c r="B65">
        <f t="shared" si="62"/>
        <v>0.226390624283682</v>
      </c>
    </row>
    <row r="66" spans="1:2" ht="12.75">
      <c r="A66">
        <f t="shared" si="63"/>
        <v>0.30000000000000004</v>
      </c>
      <c r="B66">
        <f t="shared" si="62"/>
        <v>0.30556210157073566</v>
      </c>
    </row>
    <row r="67" spans="1:2" ht="12.75">
      <c r="A67">
        <f t="shared" si="63"/>
        <v>0.4</v>
      </c>
      <c r="B67">
        <f t="shared" si="62"/>
        <v>0.40253445017879597</v>
      </c>
    </row>
    <row r="68" spans="1:2" ht="12.75">
      <c r="A68">
        <f t="shared" si="63"/>
        <v>0.5</v>
      </c>
      <c r="B68">
        <f t="shared" si="62"/>
        <v>0.5159506058172699</v>
      </c>
    </row>
    <row r="69" spans="1:2" ht="12.75">
      <c r="A69">
        <f t="shared" si="63"/>
        <v>0.6</v>
      </c>
      <c r="B69">
        <f t="shared" si="62"/>
        <v>0.6410201779783669</v>
      </c>
    </row>
    <row r="70" spans="1:2" ht="12.75">
      <c r="A70">
        <f t="shared" si="63"/>
        <v>0.7</v>
      </c>
      <c r="B70">
        <f t="shared" si="62"/>
        <v>0.768395926999152</v>
      </c>
    </row>
    <row r="71" spans="1:2" ht="12.75">
      <c r="A71">
        <f t="shared" si="63"/>
        <v>0.7999999999999999</v>
      </c>
      <c r="B71">
        <f t="shared" si="62"/>
        <v>0.8836015065338555</v>
      </c>
    </row>
    <row r="72" spans="1:2" ht="12.75">
      <c r="A72">
        <f t="shared" si="63"/>
        <v>0.8999999999999999</v>
      </c>
      <c r="B72">
        <f t="shared" si="62"/>
        <v>0.967704273107014</v>
      </c>
    </row>
    <row r="73" spans="1:2" ht="12.75">
      <c r="A73">
        <f t="shared" si="63"/>
        <v>0.9999999999999999</v>
      </c>
      <c r="B73">
        <f t="shared" si="62"/>
        <v>1</v>
      </c>
    </row>
    <row r="74" spans="1:2" ht="12.75">
      <c r="A74">
        <f t="shared" si="63"/>
        <v>1.0999999999999999</v>
      </c>
      <c r="B74">
        <f t="shared" si="62"/>
        <v>0.9631716773497361</v>
      </c>
    </row>
    <row r="75" spans="1:2" ht="12.75">
      <c r="A75">
        <f t="shared" si="63"/>
        <v>1.2</v>
      </c>
      <c r="B75">
        <f t="shared" si="62"/>
        <v>0.8504370720868242</v>
      </c>
    </row>
    <row r="76" spans="1:2" ht="12.75">
      <c r="A76">
        <f t="shared" si="63"/>
        <v>1.3</v>
      </c>
      <c r="B76">
        <f t="shared" si="62"/>
        <v>0.67251920683057</v>
      </c>
    </row>
    <row r="77" spans="1:2" ht="12.75">
      <c r="A77">
        <f t="shared" si="63"/>
        <v>1.4000000000000001</v>
      </c>
      <c r="B77">
        <f t="shared" si="62"/>
        <v>0.46034486385138196</v>
      </c>
    </row>
    <row r="78" spans="1:2" ht="12.75">
      <c r="A78">
        <f t="shared" si="63"/>
        <v>1.5000000000000002</v>
      </c>
      <c r="B78">
        <f t="shared" si="62"/>
        <v>0.2587144684272833</v>
      </c>
    </row>
    <row r="79" spans="1:2" ht="12.75">
      <c r="A79">
        <f t="shared" si="63"/>
        <v>1.6000000000000003</v>
      </c>
      <c r="B79">
        <f t="shared" si="62"/>
        <v>0.10925888477745137</v>
      </c>
    </row>
    <row r="80" spans="1:2" ht="12.75">
      <c r="A80">
        <f t="shared" si="63"/>
        <v>1.7000000000000004</v>
      </c>
      <c r="B80">
        <f t="shared" si="62"/>
        <v>0.029369174817095202</v>
      </c>
    </row>
    <row r="81" spans="1:2" ht="12.75">
      <c r="A81">
        <f t="shared" si="63"/>
        <v>1.8000000000000005</v>
      </c>
      <c r="B81">
        <f t="shared" si="62"/>
        <v>0.003461458015054706</v>
      </c>
    </row>
    <row r="82" spans="1:2" ht="12.75">
      <c r="A82">
        <f t="shared" si="63"/>
        <v>1.9000000000000006</v>
      </c>
      <c r="B82">
        <f t="shared" si="62"/>
        <v>5.445719101259092E-05</v>
      </c>
    </row>
    <row r="83" spans="1:2" ht="12.75">
      <c r="A83">
        <f t="shared" si="63"/>
        <v>2.0000000000000004</v>
      </c>
      <c r="B83">
        <f t="shared" si="62"/>
        <v>-3.735535958247749E-105</v>
      </c>
    </row>
    <row r="84" spans="1:2" ht="12.75">
      <c r="A84">
        <f t="shared" si="63"/>
        <v>2.1000000000000005</v>
      </c>
      <c r="B84">
        <f t="shared" si="62"/>
        <v>-0.00022083479918872992</v>
      </c>
    </row>
    <row r="85" spans="10:11" ht="12.75">
      <c r="J85" t="s">
        <v>60</v>
      </c>
      <c r="K85">
        <v>0.1</v>
      </c>
    </row>
    <row r="87" spans="1:20" ht="12.75">
      <c r="A87" t="s">
        <v>64</v>
      </c>
      <c r="B87" t="s">
        <v>65</v>
      </c>
      <c r="C87" t="s">
        <v>60</v>
      </c>
      <c r="D87" t="s">
        <v>66</v>
      </c>
      <c r="E87" t="s">
        <v>67</v>
      </c>
      <c r="F87" t="s">
        <v>69</v>
      </c>
      <c r="G87" t="s">
        <v>70</v>
      </c>
      <c r="H87" t="s">
        <v>61</v>
      </c>
      <c r="J87" t="s">
        <v>74</v>
      </c>
      <c r="K87">
        <v>0</v>
      </c>
      <c r="L87">
        <f>K87+0.0025</f>
        <v>0.0025</v>
      </c>
      <c r="M87">
        <f aca="true" t="shared" si="64" ref="M87:T87">L87+0.0025</f>
        <v>0.005</v>
      </c>
      <c r="N87">
        <f t="shared" si="64"/>
        <v>0.0075</v>
      </c>
      <c r="O87">
        <f t="shared" si="64"/>
        <v>0.01</v>
      </c>
      <c r="P87">
        <f t="shared" si="64"/>
        <v>0.0125</v>
      </c>
      <c r="Q87">
        <f t="shared" si="64"/>
        <v>0.015000000000000001</v>
      </c>
      <c r="R87">
        <f t="shared" si="64"/>
        <v>0.0175</v>
      </c>
      <c r="S87">
        <f t="shared" si="64"/>
        <v>0.02</v>
      </c>
      <c r="T87">
        <f t="shared" si="64"/>
        <v>0.0225</v>
      </c>
    </row>
    <row r="88" spans="1:20" ht="12.75">
      <c r="A88">
        <v>0.6</v>
      </c>
      <c r="B88">
        <v>0</v>
      </c>
      <c r="C88">
        <v>0.1</v>
      </c>
      <c r="D88">
        <f aca="true" t="shared" si="65" ref="D88:D109">stiff_h(A88)*stiff_xi(B88)*glutenrot(C88)</f>
        <v>0.9995452326643324</v>
      </c>
      <c r="E88">
        <f>u_glut(D88)</f>
        <v>0.9999992763729876</v>
      </c>
      <c r="F88">
        <f>stiff_h(A88)</f>
        <v>1.1583919671196055</v>
      </c>
      <c r="G88">
        <f>stiff_xi(B88)</f>
        <v>0.8925</v>
      </c>
      <c r="H88">
        <f>glutenrot(C88)</f>
        <v>0.9668045599653513</v>
      </c>
      <c r="J88">
        <f>0.55</f>
        <v>0.55</v>
      </c>
      <c r="K88">
        <f>gluten_quality($J88,L$87,$K$85)</f>
        <v>0.8155879608353797</v>
      </c>
      <c r="L88">
        <f aca="true" t="shared" si="66" ref="L88:T88">gluten_quality($J88,M$87,$K$85)</f>
        <v>0.7534812701124763</v>
      </c>
      <c r="M88">
        <f t="shared" si="66"/>
        <v>0.7005193892539603</v>
      </c>
      <c r="N88">
        <f t="shared" si="66"/>
        <v>0.6570251247121816</v>
      </c>
      <c r="O88">
        <f t="shared" si="66"/>
        <v>0.6220759890415855</v>
      </c>
      <c r="P88">
        <f t="shared" si="66"/>
        <v>0.5943513647313304</v>
      </c>
      <c r="Q88">
        <f t="shared" si="66"/>
        <v>0.5725247379620827</v>
      </c>
      <c r="R88">
        <f t="shared" si="66"/>
        <v>0.5554189974209071</v>
      </c>
      <c r="S88">
        <f t="shared" si="66"/>
        <v>0.5420489734426805</v>
      </c>
      <c r="T88">
        <f t="shared" si="66"/>
        <v>0.8836499196758175</v>
      </c>
    </row>
    <row r="89" spans="1:20" ht="12.75">
      <c r="A89">
        <v>0.65</v>
      </c>
      <c r="B89">
        <v>0</v>
      </c>
      <c r="C89">
        <v>0.1</v>
      </c>
      <c r="D89">
        <f t="shared" si="65"/>
        <v>0.9185105011479642</v>
      </c>
      <c r="E89">
        <f aca="true" t="shared" si="67" ref="E89:E109">u_glut(D89)</f>
        <v>0.9781896652387975</v>
      </c>
      <c r="F89">
        <f aca="true" t="shared" si="68" ref="F89:F97">stiff_h(A89)</f>
        <v>1.0644792766493198</v>
      </c>
      <c r="G89">
        <f aca="true" t="shared" si="69" ref="G89:G97">stiff_xi(B89)</f>
        <v>0.8925</v>
      </c>
      <c r="H89">
        <f aca="true" t="shared" si="70" ref="H89:H97">glutenrot(C89)</f>
        <v>0.9668045599653513</v>
      </c>
      <c r="J89">
        <f aca="true" t="shared" si="71" ref="J89:J99">J88+0.05</f>
        <v>0.6000000000000001</v>
      </c>
      <c r="K89">
        <f aca="true" t="shared" si="72" ref="K89:T89">gluten_quality($J89,L$87,$K$85)</f>
        <v>0.9913676096087056</v>
      </c>
      <c r="L89">
        <f t="shared" si="72"/>
        <v>0.9768208500678405</v>
      </c>
      <c r="M89">
        <f t="shared" si="72"/>
        <v>0.9604706087297337</v>
      </c>
      <c r="N89">
        <f t="shared" si="72"/>
        <v>0.944676918822961</v>
      </c>
      <c r="O89">
        <f t="shared" si="72"/>
        <v>0.9305318753241264</v>
      </c>
      <c r="P89">
        <f t="shared" si="72"/>
        <v>0.9184090642952044</v>
      </c>
      <c r="Q89">
        <f t="shared" si="72"/>
        <v>0.908305152096564</v>
      </c>
      <c r="R89">
        <f t="shared" si="72"/>
        <v>0.9000393634145304</v>
      </c>
      <c r="S89">
        <f t="shared" si="72"/>
        <v>0.8933640353422808</v>
      </c>
      <c r="T89">
        <f t="shared" si="72"/>
        <v>0.9996794240842969</v>
      </c>
    </row>
    <row r="90" spans="1:20" ht="12.75">
      <c r="A90">
        <v>0.7</v>
      </c>
      <c r="B90">
        <v>0</v>
      </c>
      <c r="C90">
        <v>0.1</v>
      </c>
      <c r="D90">
        <f t="shared" si="65"/>
        <v>0.8784576046031942</v>
      </c>
      <c r="E90">
        <f t="shared" si="67"/>
        <v>0.95326472701099</v>
      </c>
      <c r="F90">
        <f t="shared" si="68"/>
        <v>1.018061213613132</v>
      </c>
      <c r="G90">
        <f t="shared" si="69"/>
        <v>0.8925</v>
      </c>
      <c r="H90">
        <f t="shared" si="70"/>
        <v>0.9668045599653513</v>
      </c>
      <c r="J90">
        <f t="shared" si="71"/>
        <v>0.6500000000000001</v>
      </c>
      <c r="K90">
        <f aca="true" t="shared" si="73" ref="K90:T90">gluten_quality($J90,L$87,$K$85)</f>
        <v>0.9955575827923275</v>
      </c>
      <c r="L90">
        <f t="shared" si="73"/>
        <v>0.9997833276338357</v>
      </c>
      <c r="M90">
        <f t="shared" si="73"/>
        <v>0.9993002996544089</v>
      </c>
      <c r="N90">
        <f t="shared" si="73"/>
        <v>0.9965307766396505</v>
      </c>
      <c r="O90">
        <f t="shared" si="73"/>
        <v>0.9928810023873151</v>
      </c>
      <c r="P90">
        <f t="shared" si="73"/>
        <v>0.9891169458089081</v>
      </c>
      <c r="Q90">
        <f t="shared" si="73"/>
        <v>0.9856202251529701</v>
      </c>
      <c r="R90">
        <f t="shared" si="73"/>
        <v>0.9825516763470399</v>
      </c>
      <c r="S90">
        <f t="shared" si="73"/>
        <v>0.979951498756251</v>
      </c>
      <c r="T90">
        <f t="shared" si="73"/>
        <v>0.9826906049168814</v>
      </c>
    </row>
    <row r="91" spans="1:20" ht="12.75">
      <c r="A91">
        <v>0.75</v>
      </c>
      <c r="B91">
        <v>0</v>
      </c>
      <c r="C91">
        <v>0.1</v>
      </c>
      <c r="D91">
        <f t="shared" si="65"/>
        <v>0.8579712938423285</v>
      </c>
      <c r="E91">
        <f t="shared" si="67"/>
        <v>0.937482479828807</v>
      </c>
      <c r="F91">
        <f t="shared" si="68"/>
        <v>0.9943192387171623</v>
      </c>
      <c r="G91">
        <f t="shared" si="69"/>
        <v>0.8925</v>
      </c>
      <c r="H91">
        <f t="shared" si="70"/>
        <v>0.9668045599653513</v>
      </c>
      <c r="J91">
        <f t="shared" si="71"/>
        <v>0.7000000000000002</v>
      </c>
      <c r="K91">
        <f aca="true" t="shared" si="74" ref="K91:T91">gluten_quality($J91,L$87,$K$85)</f>
        <v>0.9798942349557493</v>
      </c>
      <c r="L91">
        <f t="shared" si="74"/>
        <v>0.9911822233705008</v>
      </c>
      <c r="M91">
        <f t="shared" si="74"/>
        <v>0.9968868154339512</v>
      </c>
      <c r="N91">
        <f t="shared" si="74"/>
        <v>0.9993411422352252</v>
      </c>
      <c r="O91">
        <f t="shared" si="74"/>
        <v>0.9999961853892009</v>
      </c>
      <c r="P91">
        <f t="shared" si="74"/>
        <v>0.999722506045829</v>
      </c>
      <c r="Q91">
        <f t="shared" si="74"/>
        <v>0.9990244788686422</v>
      </c>
      <c r="R91">
        <f t="shared" si="74"/>
        <v>0.9981826114844913</v>
      </c>
      <c r="S91">
        <f t="shared" si="74"/>
        <v>0.9973442406657819</v>
      </c>
      <c r="T91">
        <f t="shared" si="74"/>
        <v>0.9594313211203891</v>
      </c>
    </row>
    <row r="92" spans="1:20" ht="12.75">
      <c r="A92">
        <v>0.8</v>
      </c>
      <c r="B92">
        <v>0</v>
      </c>
      <c r="C92">
        <v>0.1</v>
      </c>
      <c r="D92">
        <f t="shared" si="65"/>
        <v>0.8460270839784022</v>
      </c>
      <c r="E92">
        <f t="shared" si="67"/>
        <v>0.9274322573720796</v>
      </c>
      <c r="F92">
        <f t="shared" si="68"/>
        <v>0.9804768668986481</v>
      </c>
      <c r="G92">
        <f t="shared" si="69"/>
        <v>0.8925</v>
      </c>
      <c r="H92">
        <f t="shared" si="70"/>
        <v>0.9668045599653513</v>
      </c>
      <c r="J92">
        <f t="shared" si="71"/>
        <v>0.7500000000000002</v>
      </c>
      <c r="K92">
        <f aca="true" t="shared" si="75" ref="K92:T92">gluten_quality($J92,L$87,$K$85)</f>
        <v>0.9679360397071374</v>
      </c>
      <c r="L92">
        <f t="shared" si="75"/>
        <v>0.9822356472186995</v>
      </c>
      <c r="M92">
        <f t="shared" si="75"/>
        <v>0.9906301704352165</v>
      </c>
      <c r="N92">
        <f t="shared" si="75"/>
        <v>0.995387812477289</v>
      </c>
      <c r="O92">
        <f t="shared" si="75"/>
        <v>0.9979614734616231</v>
      </c>
      <c r="P92">
        <f t="shared" si="75"/>
        <v>0.999256409030512</v>
      </c>
      <c r="Q92">
        <f t="shared" si="75"/>
        <v>0.9998243187506586</v>
      </c>
      <c r="R92">
        <f t="shared" si="75"/>
        <v>0.9999947623627036</v>
      </c>
      <c r="S92">
        <f t="shared" si="75"/>
        <v>0.9999605389113416</v>
      </c>
      <c r="T92">
        <f t="shared" si="75"/>
        <v>0.9443233701001408</v>
      </c>
    </row>
    <row r="93" spans="1:20" ht="12.75">
      <c r="A93">
        <v>0.85</v>
      </c>
      <c r="B93">
        <v>0</v>
      </c>
      <c r="C93">
        <v>0.1</v>
      </c>
      <c r="D93">
        <f t="shared" si="65"/>
        <v>0.8361965394103419</v>
      </c>
      <c r="E93">
        <f t="shared" si="67"/>
        <v>0.9187237348400524</v>
      </c>
      <c r="F93">
        <f t="shared" si="68"/>
        <v>0.9690840619630494</v>
      </c>
      <c r="G93">
        <f t="shared" si="69"/>
        <v>0.8925</v>
      </c>
      <c r="H93">
        <f t="shared" si="70"/>
        <v>0.9668045599653513</v>
      </c>
      <c r="J93">
        <f t="shared" si="71"/>
        <v>0.8000000000000003</v>
      </c>
      <c r="K93">
        <f aca="true" t="shared" si="76" ref="K93:T93">gluten_quality($J93,L$87,$K$85)</f>
        <v>0.9598389089403915</v>
      </c>
      <c r="L93">
        <f t="shared" si="76"/>
        <v>0.9757082203700227</v>
      </c>
      <c r="M93">
        <f t="shared" si="76"/>
        <v>0.9855208733407249</v>
      </c>
      <c r="N93">
        <f t="shared" si="76"/>
        <v>0.9915026732225486</v>
      </c>
      <c r="O93">
        <f t="shared" si="76"/>
        <v>0.9951021484085656</v>
      </c>
      <c r="P93">
        <f t="shared" si="76"/>
        <v>0.9972395719914202</v>
      </c>
      <c r="Q93">
        <f t="shared" si="76"/>
        <v>0.9984897726832271</v>
      </c>
      <c r="R93">
        <f t="shared" si="76"/>
        <v>0.9992072816642051</v>
      </c>
      <c r="S93">
        <f t="shared" si="76"/>
        <v>0.9996085373357012</v>
      </c>
      <c r="T93">
        <f t="shared" si="76"/>
        <v>0.93461305219248</v>
      </c>
    </row>
    <row r="94" spans="1:20" ht="12.75">
      <c r="A94">
        <v>0.9</v>
      </c>
      <c r="B94">
        <v>0</v>
      </c>
      <c r="C94">
        <v>0.1</v>
      </c>
      <c r="D94">
        <f t="shared" si="65"/>
        <v>0.8234421593002208</v>
      </c>
      <c r="E94">
        <f t="shared" si="67"/>
        <v>0.906872651054356</v>
      </c>
      <c r="F94">
        <f t="shared" si="68"/>
        <v>0.9543027684484257</v>
      </c>
      <c r="G94">
        <f t="shared" si="69"/>
        <v>0.8925</v>
      </c>
      <c r="H94">
        <f t="shared" si="70"/>
        <v>0.9668045599653513</v>
      </c>
      <c r="J94">
        <f t="shared" si="71"/>
        <v>0.8500000000000003</v>
      </c>
      <c r="K94">
        <f aca="true" t="shared" si="77" ref="K94:T94">gluten_quality($J94,L$87,$K$85)</f>
        <v>0.9525889671305161</v>
      </c>
      <c r="L94">
        <f t="shared" si="77"/>
        <v>0.969648743473897</v>
      </c>
      <c r="M94">
        <f t="shared" si="77"/>
        <v>0.9805459103329265</v>
      </c>
      <c r="N94">
        <f t="shared" si="77"/>
        <v>0.987469293568661</v>
      </c>
      <c r="O94">
        <f t="shared" si="77"/>
        <v>0.9918611052496576</v>
      </c>
      <c r="P94">
        <f t="shared" si="77"/>
        <v>0.9946513077637744</v>
      </c>
      <c r="Q94">
        <f t="shared" si="77"/>
        <v>0.9964314249508501</v>
      </c>
      <c r="R94">
        <f t="shared" si="77"/>
        <v>0.9975746029321337</v>
      </c>
      <c r="S94">
        <f t="shared" si="77"/>
        <v>0.99831518212127</v>
      </c>
      <c r="T94">
        <f t="shared" si="77"/>
        <v>0.9261557690568166</v>
      </c>
    </row>
    <row r="95" spans="1:20" ht="12.75">
      <c r="A95">
        <v>0.95</v>
      </c>
      <c r="B95">
        <v>0</v>
      </c>
      <c r="C95">
        <v>0.1</v>
      </c>
      <c r="D95">
        <f t="shared" si="65"/>
        <v>0.8019523645322191</v>
      </c>
      <c r="E95">
        <f t="shared" si="67"/>
        <v>0.8856082176005093</v>
      </c>
      <c r="F95">
        <f t="shared" si="68"/>
        <v>0.9293978368647423</v>
      </c>
      <c r="G95">
        <f t="shared" si="69"/>
        <v>0.8925</v>
      </c>
      <c r="H95">
        <f t="shared" si="70"/>
        <v>0.9668045599653513</v>
      </c>
      <c r="J95">
        <f t="shared" si="71"/>
        <v>0.9000000000000004</v>
      </c>
      <c r="K95">
        <f aca="true" t="shared" si="78" ref="K95:T95">gluten_quality($J95,L$87,$K$85)</f>
        <v>0.9424348587259619</v>
      </c>
      <c r="L95">
        <f t="shared" si="78"/>
        <v>0.960904810369575</v>
      </c>
      <c r="M95">
        <f t="shared" si="78"/>
        <v>0.9730987896073248</v>
      </c>
      <c r="N95">
        <f t="shared" si="78"/>
        <v>0.9811552670426823</v>
      </c>
      <c r="O95">
        <f t="shared" si="78"/>
        <v>0.9865049295461803</v>
      </c>
      <c r="P95">
        <f t="shared" si="78"/>
        <v>0.9900869409432139</v>
      </c>
      <c r="Q95">
        <f t="shared" si="78"/>
        <v>0.9925114760069078</v>
      </c>
      <c r="R95">
        <f t="shared" si="78"/>
        <v>0.9941733060208975</v>
      </c>
      <c r="S95">
        <f t="shared" si="78"/>
        <v>0.9953279483859528</v>
      </c>
      <c r="T95">
        <f t="shared" si="78"/>
        <v>0.9145933746491026</v>
      </c>
    </row>
    <row r="96" spans="1:20" ht="12.75">
      <c r="A96">
        <v>1</v>
      </c>
      <c r="B96">
        <v>0</v>
      </c>
      <c r="C96">
        <v>0.1</v>
      </c>
      <c r="D96">
        <f t="shared" si="65"/>
        <v>0.7631435138402481</v>
      </c>
      <c r="E96">
        <f t="shared" si="67"/>
        <v>0.8436783828774501</v>
      </c>
      <c r="F96">
        <f t="shared" si="68"/>
        <v>0.8844215222112359</v>
      </c>
      <c r="G96">
        <f t="shared" si="69"/>
        <v>0.8925</v>
      </c>
      <c r="H96">
        <f t="shared" si="70"/>
        <v>0.9668045599653513</v>
      </c>
      <c r="J96">
        <f t="shared" si="71"/>
        <v>0.9500000000000004</v>
      </c>
      <c r="K96">
        <f aca="true" t="shared" si="79" ref="K96:T96">gluten_quality($J96,L$87,$K$85)</f>
        <v>0.923548396615567</v>
      </c>
      <c r="L96">
        <f t="shared" si="79"/>
        <v>0.9440599785015252</v>
      </c>
      <c r="M96">
        <f t="shared" si="79"/>
        <v>0.9581622456743005</v>
      </c>
      <c r="N96">
        <f t="shared" si="79"/>
        <v>0.9679040193427693</v>
      </c>
      <c r="O96">
        <f t="shared" si="79"/>
        <v>0.9746890621066335</v>
      </c>
      <c r="P96">
        <f t="shared" si="79"/>
        <v>0.9794641417700284</v>
      </c>
      <c r="Q96">
        <f t="shared" si="79"/>
        <v>0.9828636325270974</v>
      </c>
      <c r="R96">
        <f t="shared" si="79"/>
        <v>0.9853125710980921</v>
      </c>
      <c r="S96">
        <f t="shared" si="79"/>
        <v>0.987097081335666</v>
      </c>
      <c r="T96">
        <f t="shared" si="79"/>
        <v>0.8937240045770658</v>
      </c>
    </row>
    <row r="97" spans="1:20" ht="12.75">
      <c r="A97">
        <v>0.6</v>
      </c>
      <c r="B97">
        <v>0.02</v>
      </c>
      <c r="C97">
        <v>0.1</v>
      </c>
      <c r="D97">
        <f t="shared" si="65"/>
        <v>1.1520637318691382</v>
      </c>
      <c r="E97">
        <f t="shared" si="67"/>
        <v>0.9137461443101189</v>
      </c>
      <c r="F97">
        <f t="shared" si="68"/>
        <v>1.1583919671196055</v>
      </c>
      <c r="G97">
        <f t="shared" si="69"/>
        <v>1.0286846928902336</v>
      </c>
      <c r="H97">
        <f t="shared" si="70"/>
        <v>0.9668045599653513</v>
      </c>
      <c r="J97">
        <f t="shared" si="71"/>
        <v>1.0000000000000004</v>
      </c>
      <c r="K97">
        <f aca="true" t="shared" si="80" ref="K97:T97">gluten_quality($J97,L$87,$K$85)</f>
        <v>0.8844892408155111</v>
      </c>
      <c r="L97">
        <f t="shared" si="80"/>
        <v>0.9076831084631328</v>
      </c>
      <c r="M97">
        <f t="shared" si="80"/>
        <v>0.9243898991056159</v>
      </c>
      <c r="N97">
        <f t="shared" si="80"/>
        <v>0.9364869820660473</v>
      </c>
      <c r="O97">
        <f t="shared" si="80"/>
        <v>0.9453103963456334</v>
      </c>
      <c r="P97">
        <f t="shared" si="80"/>
        <v>0.951799058363379</v>
      </c>
      <c r="Q97">
        <f t="shared" si="80"/>
        <v>0.9566105091114528</v>
      </c>
      <c r="R97">
        <f t="shared" si="80"/>
        <v>0.960206420399178</v>
      </c>
      <c r="S97">
        <f t="shared" si="80"/>
        <v>0.9629130593648332</v>
      </c>
      <c r="T97">
        <f t="shared" si="80"/>
        <v>0.852239370680907</v>
      </c>
    </row>
    <row r="98" spans="1:20" ht="12.75">
      <c r="A98">
        <f>A97+0.05</f>
        <v>0.65</v>
      </c>
      <c r="B98">
        <f>B97</f>
        <v>0.02</v>
      </c>
      <c r="C98">
        <v>0.1</v>
      </c>
      <c r="D98">
        <f t="shared" si="65"/>
        <v>1.0586640815572526</v>
      </c>
      <c r="E98">
        <f t="shared" si="67"/>
        <v>0.9875402842733264</v>
      </c>
      <c r="F98">
        <f aca="true" t="shared" si="81" ref="F98:F109">stiff_h(A98)</f>
        <v>1.0644792766493198</v>
      </c>
      <c r="G98">
        <f aca="true" t="shared" si="82" ref="G98:G109">stiff_xi(B98)</f>
        <v>1.0286846928902336</v>
      </c>
      <c r="H98">
        <f aca="true" t="shared" si="83" ref="H98:H109">glutenrot(C98)</f>
        <v>0.9668045599653513</v>
      </c>
      <c r="J98">
        <f t="shared" si="71"/>
        <v>1.0500000000000005</v>
      </c>
      <c r="K98">
        <f aca="true" t="shared" si="84" ref="K98:T98">gluten_quality($J98,L$87,$K$85)</f>
        <v>0.8020304532922777</v>
      </c>
      <c r="L98">
        <f t="shared" si="84"/>
        <v>0.8272139659780203</v>
      </c>
      <c r="M98">
        <f t="shared" si="84"/>
        <v>0.8461879664949487</v>
      </c>
      <c r="N98">
        <f t="shared" si="84"/>
        <v>0.8605147884953493</v>
      </c>
      <c r="O98">
        <f t="shared" si="84"/>
        <v>0.87136912176064</v>
      </c>
      <c r="P98">
        <f t="shared" si="84"/>
        <v>0.8796238470781109</v>
      </c>
      <c r="Q98">
        <f t="shared" si="84"/>
        <v>0.8859251661409925</v>
      </c>
      <c r="R98">
        <f t="shared" si="84"/>
        <v>0.8907519968958176</v>
      </c>
      <c r="S98">
        <f t="shared" si="84"/>
        <v>0.8944606434419466</v>
      </c>
      <c r="T98">
        <f t="shared" si="84"/>
        <v>0.7686110247427849</v>
      </c>
    </row>
    <row r="99" spans="1:20" ht="12.75">
      <c r="A99">
        <f aca="true" t="shared" si="85" ref="A99:A109">A98+0.05</f>
        <v>0.7000000000000001</v>
      </c>
      <c r="B99">
        <f aca="true" t="shared" si="86" ref="B99:B109">B98</f>
        <v>0.02</v>
      </c>
      <c r="C99">
        <v>0.1</v>
      </c>
      <c r="D99">
        <f t="shared" si="65"/>
        <v>1.0124995979925233</v>
      </c>
      <c r="E99">
        <f t="shared" si="67"/>
        <v>0.9994487121873129</v>
      </c>
      <c r="F99">
        <f t="shared" si="81"/>
        <v>1.018061213613132</v>
      </c>
      <c r="G99">
        <f t="shared" si="82"/>
        <v>1.0286846928902336</v>
      </c>
      <c r="H99">
        <f t="shared" si="83"/>
        <v>0.9668045599653513</v>
      </c>
      <c r="J99">
        <f t="shared" si="71"/>
        <v>1.1000000000000005</v>
      </c>
      <c r="K99">
        <f aca="true" t="shared" si="87" ref="K99:T99">gluten_quality($J99,L$87,$K$85)</f>
        <v>0.6385830132933545</v>
      </c>
      <c r="L99">
        <f t="shared" si="87"/>
        <v>0.6610433021292339</v>
      </c>
      <c r="M99">
        <f t="shared" si="87"/>
        <v>0.6785562257147959</v>
      </c>
      <c r="N99">
        <f t="shared" si="87"/>
        <v>0.6921846963998898</v>
      </c>
      <c r="O99">
        <f t="shared" si="87"/>
        <v>0.7027805817361459</v>
      </c>
      <c r="P99">
        <f t="shared" si="87"/>
        <v>0.7110161011640183</v>
      </c>
      <c r="Q99">
        <f t="shared" si="87"/>
        <v>0.7174171341181098</v>
      </c>
      <c r="R99">
        <f t="shared" si="87"/>
        <v>0.7223931761171615</v>
      </c>
      <c r="S99">
        <f t="shared" si="87"/>
        <v>0.7262623730781006</v>
      </c>
      <c r="T99">
        <f t="shared" si="87"/>
        <v>0.6098848240786652</v>
      </c>
    </row>
    <row r="100" spans="1:8" ht="12.75">
      <c r="A100">
        <f t="shared" si="85"/>
        <v>0.7500000000000001</v>
      </c>
      <c r="B100">
        <f t="shared" si="86"/>
        <v>0.02</v>
      </c>
      <c r="C100">
        <v>0.1</v>
      </c>
      <c r="D100">
        <f t="shared" si="65"/>
        <v>0.9888873242743218</v>
      </c>
      <c r="E100">
        <f t="shared" si="67"/>
        <v>0.9995710471915434</v>
      </c>
      <c r="F100">
        <f t="shared" si="81"/>
        <v>0.9943192387171623</v>
      </c>
      <c r="G100">
        <f t="shared" si="82"/>
        <v>1.0286846928902336</v>
      </c>
      <c r="H100">
        <f t="shared" si="83"/>
        <v>0.9668045599653513</v>
      </c>
    </row>
    <row r="101" spans="1:20" ht="12.75">
      <c r="A101">
        <f t="shared" si="85"/>
        <v>0.8000000000000002</v>
      </c>
      <c r="B101">
        <f t="shared" si="86"/>
        <v>0.02</v>
      </c>
      <c r="C101">
        <v>0.1</v>
      </c>
      <c r="D101">
        <f t="shared" si="65"/>
        <v>0.975120572615286</v>
      </c>
      <c r="E101">
        <f t="shared" si="67"/>
        <v>0.9978710946073733</v>
      </c>
      <c r="F101">
        <f t="shared" si="81"/>
        <v>0.9804768668986481</v>
      </c>
      <c r="G101">
        <f t="shared" si="82"/>
        <v>1.0286846928902336</v>
      </c>
      <c r="H101">
        <f t="shared" si="83"/>
        <v>0.9668045599653513</v>
      </c>
      <c r="J101" t="s">
        <v>70</v>
      </c>
      <c r="K101">
        <f>stiff_xi(K102)</f>
        <v>0.8925</v>
      </c>
      <c r="L101">
        <f aca="true" t="shared" si="88" ref="L101:T101">stiff_xi(L102)</f>
        <v>0.9273388766662538</v>
      </c>
      <c r="M101">
        <f t="shared" si="88"/>
        <v>0.9544714210952603</v>
      </c>
      <c r="N101">
        <f t="shared" si="88"/>
        <v>0.9756022679432902</v>
      </c>
      <c r="O101">
        <f t="shared" si="88"/>
        <v>0.9920589880154979</v>
      </c>
      <c r="P101">
        <f t="shared" si="88"/>
        <v>1.00487549449452</v>
      </c>
      <c r="Q101">
        <f t="shared" si="88"/>
        <v>1.0148569997766224</v>
      </c>
      <c r="R101">
        <f t="shared" si="88"/>
        <v>1.022630603906555</v>
      </c>
      <c r="S101">
        <f t="shared" si="88"/>
        <v>1.0286846928902336</v>
      </c>
      <c r="T101">
        <f t="shared" si="88"/>
        <v>1.0333996221315063</v>
      </c>
    </row>
    <row r="102" spans="1:20" ht="12.75">
      <c r="A102">
        <f t="shared" si="85"/>
        <v>0.8500000000000002</v>
      </c>
      <c r="B102">
        <f t="shared" si="86"/>
        <v>0.02</v>
      </c>
      <c r="C102">
        <v>0.1</v>
      </c>
      <c r="D102">
        <f t="shared" si="65"/>
        <v>0.963790005982301</v>
      </c>
      <c r="E102">
        <f t="shared" si="67"/>
        <v>0.9955288091229307</v>
      </c>
      <c r="F102">
        <f t="shared" si="81"/>
        <v>0.9690840619630494</v>
      </c>
      <c r="G102">
        <f t="shared" si="82"/>
        <v>1.0286846928902336</v>
      </c>
      <c r="H102">
        <f t="shared" si="83"/>
        <v>0.9668045599653513</v>
      </c>
      <c r="I102" t="s">
        <v>69</v>
      </c>
      <c r="J102" t="s">
        <v>75</v>
      </c>
      <c r="K102">
        <v>0</v>
      </c>
      <c r="L102">
        <f>K102+0.0025</f>
        <v>0.0025</v>
      </c>
      <c r="M102">
        <f aca="true" t="shared" si="89" ref="M102:T102">L102+0.0025</f>
        <v>0.005</v>
      </c>
      <c r="N102">
        <f t="shared" si="89"/>
        <v>0.0075</v>
      </c>
      <c r="O102">
        <f t="shared" si="89"/>
        <v>0.01</v>
      </c>
      <c r="P102">
        <f t="shared" si="89"/>
        <v>0.0125</v>
      </c>
      <c r="Q102">
        <f t="shared" si="89"/>
        <v>0.015000000000000001</v>
      </c>
      <c r="R102">
        <f t="shared" si="89"/>
        <v>0.0175</v>
      </c>
      <c r="S102">
        <f t="shared" si="89"/>
        <v>0.02</v>
      </c>
      <c r="T102">
        <f t="shared" si="89"/>
        <v>0.0225</v>
      </c>
    </row>
    <row r="103" spans="1:20" ht="12.75">
      <c r="A103">
        <f t="shared" si="85"/>
        <v>0.9000000000000002</v>
      </c>
      <c r="B103">
        <f t="shared" si="86"/>
        <v>0.02</v>
      </c>
      <c r="C103">
        <v>0.1</v>
      </c>
      <c r="D103">
        <f t="shared" si="65"/>
        <v>0.9490894619076956</v>
      </c>
      <c r="E103">
        <f t="shared" si="67"/>
        <v>0.9912633939036124</v>
      </c>
      <c r="F103">
        <f t="shared" si="81"/>
        <v>0.9543027684484255</v>
      </c>
      <c r="G103">
        <f t="shared" si="82"/>
        <v>1.0286846928902336</v>
      </c>
      <c r="H103">
        <f t="shared" si="83"/>
        <v>0.9668045599653513</v>
      </c>
      <c r="I103">
        <f>stiff_h(J103)</f>
        <v>1.349855453772327</v>
      </c>
      <c r="J103">
        <f>0.55</f>
        <v>0.55</v>
      </c>
      <c r="K103">
        <f aca="true" t="shared" si="90" ref="K103:T114">stiff_h($J103)*stiff_xi(K$102)*glutenrot($K$85)</f>
        <v>1.164753919141057</v>
      </c>
      <c r="L103">
        <f t="shared" si="90"/>
        <v>1.2102202699931477</v>
      </c>
      <c r="M103">
        <f t="shared" si="90"/>
        <v>1.2456294996401551</v>
      </c>
      <c r="N103">
        <f t="shared" si="90"/>
        <v>1.2732062354171998</v>
      </c>
      <c r="O103">
        <f t="shared" si="90"/>
        <v>1.2946830188349154</v>
      </c>
      <c r="P103">
        <f t="shared" si="90"/>
        <v>1.3114091545784872</v>
      </c>
      <c r="Q103">
        <f t="shared" si="90"/>
        <v>1.3244354821933397</v>
      </c>
      <c r="R103">
        <f t="shared" si="90"/>
        <v>1.3345803963403313</v>
      </c>
      <c r="S103">
        <f t="shared" si="90"/>
        <v>1.3424812634222008</v>
      </c>
      <c r="T103">
        <f t="shared" si="90"/>
        <v>1.3486344648925035</v>
      </c>
    </row>
    <row r="104" spans="1:20" ht="12.75">
      <c r="A104">
        <f t="shared" si="85"/>
        <v>0.9500000000000003</v>
      </c>
      <c r="B104">
        <f t="shared" si="86"/>
        <v>0.02</v>
      </c>
      <c r="C104">
        <v>0.1</v>
      </c>
      <c r="D104">
        <f t="shared" si="65"/>
        <v>0.9243205846738625</v>
      </c>
      <c r="E104">
        <f t="shared" si="67"/>
        <v>0.98109245922278</v>
      </c>
      <c r="F104">
        <f t="shared" si="81"/>
        <v>0.9293978368647421</v>
      </c>
      <c r="G104">
        <f t="shared" si="82"/>
        <v>1.0286846928902336</v>
      </c>
      <c r="H104">
        <f t="shared" si="83"/>
        <v>0.9668045599653513</v>
      </c>
      <c r="I104">
        <f aca="true" t="shared" si="91" ref="I104:I114">stiff_h(J104)</f>
        <v>1.1583919671196052</v>
      </c>
      <c r="J104">
        <f aca="true" t="shared" si="92" ref="J104:J114">J103+0.05</f>
        <v>0.6000000000000001</v>
      </c>
      <c r="K104">
        <f t="shared" si="90"/>
        <v>0.9995452326643324</v>
      </c>
      <c r="L104">
        <f t="shared" si="90"/>
        <v>1.038562636679049</v>
      </c>
      <c r="M104">
        <f t="shared" si="90"/>
        <v>1.0689494214791238</v>
      </c>
      <c r="N104">
        <f t="shared" si="90"/>
        <v>1.092614673276444</v>
      </c>
      <c r="O104">
        <f t="shared" si="90"/>
        <v>1.1110451899077793</v>
      </c>
      <c r="P104">
        <f t="shared" si="90"/>
        <v>1.1253988906926733</v>
      </c>
      <c r="Q104">
        <f t="shared" si="90"/>
        <v>1.136577564103922</v>
      </c>
      <c r="R104">
        <f t="shared" si="90"/>
        <v>1.1452835237103016</v>
      </c>
      <c r="S104">
        <f t="shared" si="90"/>
        <v>1.152063731869138</v>
      </c>
      <c r="T104">
        <f t="shared" si="90"/>
        <v>1.1573441632926271</v>
      </c>
    </row>
    <row r="105" spans="1:20" ht="12.75">
      <c r="A105">
        <f t="shared" si="85"/>
        <v>1.0000000000000002</v>
      </c>
      <c r="B105">
        <f t="shared" si="86"/>
        <v>0.02</v>
      </c>
      <c r="C105">
        <v>0.1</v>
      </c>
      <c r="D105">
        <f t="shared" si="65"/>
        <v>0.8795899732951589</v>
      </c>
      <c r="E105">
        <f t="shared" si="67"/>
        <v>0.9540805359565648</v>
      </c>
      <c r="F105">
        <f t="shared" si="81"/>
        <v>0.8844215222112357</v>
      </c>
      <c r="G105">
        <f t="shared" si="82"/>
        <v>1.0286846928902336</v>
      </c>
      <c r="H105">
        <f t="shared" si="83"/>
        <v>0.9668045599653513</v>
      </c>
      <c r="I105">
        <f t="shared" si="91"/>
        <v>1.0644792766493198</v>
      </c>
      <c r="J105">
        <f t="shared" si="92"/>
        <v>0.6500000000000001</v>
      </c>
      <c r="K105">
        <f t="shared" si="90"/>
        <v>0.9185105011479642</v>
      </c>
      <c r="L105">
        <f t="shared" si="90"/>
        <v>0.9543647017823091</v>
      </c>
      <c r="M105">
        <f t="shared" si="90"/>
        <v>0.9822879813127362</v>
      </c>
      <c r="N105">
        <f t="shared" si="90"/>
        <v>1.0040346532769546</v>
      </c>
      <c r="O105">
        <f t="shared" si="90"/>
        <v>1.0209709784318848</v>
      </c>
      <c r="P105">
        <f t="shared" si="90"/>
        <v>1.0341610017248963</v>
      </c>
      <c r="Q105">
        <f t="shared" si="90"/>
        <v>1.0444334021942239</v>
      </c>
      <c r="R105">
        <f t="shared" si="90"/>
        <v>1.0524335557237592</v>
      </c>
      <c r="S105">
        <f t="shared" si="90"/>
        <v>1.0586640815572526</v>
      </c>
      <c r="T105">
        <f t="shared" si="90"/>
        <v>1.063516419955324</v>
      </c>
    </row>
    <row r="106" spans="1:20" ht="12.75">
      <c r="A106">
        <f t="shared" si="85"/>
        <v>1.0500000000000003</v>
      </c>
      <c r="B106">
        <f t="shared" si="86"/>
        <v>0.02</v>
      </c>
      <c r="C106">
        <v>0.1</v>
      </c>
      <c r="D106">
        <f t="shared" si="65"/>
        <v>0.7990210622275342</v>
      </c>
      <c r="E106">
        <f t="shared" si="67"/>
        <v>0.8825908718930896</v>
      </c>
      <c r="F106">
        <f t="shared" si="81"/>
        <v>0.8034100496697917</v>
      </c>
      <c r="G106">
        <f t="shared" si="82"/>
        <v>1.0286846928902336</v>
      </c>
      <c r="H106">
        <f t="shared" si="83"/>
        <v>0.9668045599653513</v>
      </c>
      <c r="I106">
        <f t="shared" si="91"/>
        <v>1.0180612136131317</v>
      </c>
      <c r="J106">
        <f t="shared" si="92"/>
        <v>0.7000000000000002</v>
      </c>
      <c r="K106">
        <f t="shared" si="90"/>
        <v>0.878457604603194</v>
      </c>
      <c r="L106">
        <f t="shared" si="90"/>
        <v>0.9127483341755228</v>
      </c>
      <c r="M106">
        <f t="shared" si="90"/>
        <v>0.9394539812185422</v>
      </c>
      <c r="N106">
        <f t="shared" si="90"/>
        <v>0.9602523600480741</v>
      </c>
      <c r="O106">
        <f t="shared" si="90"/>
        <v>0.9764501537671295</v>
      </c>
      <c r="P106">
        <f t="shared" si="90"/>
        <v>0.9890650081995588</v>
      </c>
      <c r="Q106">
        <f t="shared" si="90"/>
        <v>0.9988894667098664</v>
      </c>
      <c r="R106">
        <f t="shared" si="90"/>
        <v>1.0065407626909468</v>
      </c>
      <c r="S106">
        <f t="shared" si="90"/>
        <v>1.012499597992523</v>
      </c>
      <c r="T106">
        <f t="shared" si="90"/>
        <v>1.0171403435915842</v>
      </c>
    </row>
    <row r="107" spans="1:20" ht="12.75">
      <c r="A107">
        <f t="shared" si="85"/>
        <v>1.1000000000000003</v>
      </c>
      <c r="B107">
        <f t="shared" si="86"/>
        <v>0.02</v>
      </c>
      <c r="C107">
        <v>0.1</v>
      </c>
      <c r="D107">
        <f t="shared" si="65"/>
        <v>0.6568938873494646</v>
      </c>
      <c r="E107">
        <f t="shared" si="67"/>
        <v>0.714017143775368</v>
      </c>
      <c r="F107">
        <f t="shared" si="81"/>
        <v>0.6605021764907232</v>
      </c>
      <c r="G107">
        <f t="shared" si="82"/>
        <v>1.0286846928902336</v>
      </c>
      <c r="H107">
        <f t="shared" si="83"/>
        <v>0.9668045599653513</v>
      </c>
      <c r="I107">
        <f t="shared" si="91"/>
        <v>0.9943192387171621</v>
      </c>
      <c r="J107">
        <f t="shared" si="92"/>
        <v>0.7500000000000002</v>
      </c>
      <c r="K107">
        <f t="shared" si="90"/>
        <v>0.8579712938423283</v>
      </c>
      <c r="L107">
        <f t="shared" si="90"/>
        <v>0.8914623370797055</v>
      </c>
      <c r="M107">
        <f t="shared" si="90"/>
        <v>0.917545187778853</v>
      </c>
      <c r="N107">
        <f t="shared" si="90"/>
        <v>0.9378585323280836</v>
      </c>
      <c r="O107">
        <f t="shared" si="90"/>
        <v>0.9536785809698236</v>
      </c>
      <c r="P107">
        <f t="shared" si="90"/>
        <v>0.9659992472402384</v>
      </c>
      <c r="Q107">
        <f t="shared" si="90"/>
        <v>0.9755945917795993</v>
      </c>
      <c r="R107">
        <f t="shared" si="90"/>
        <v>0.9830674536206931</v>
      </c>
      <c r="S107">
        <f t="shared" si="90"/>
        <v>0.9888873242743216</v>
      </c>
      <c r="T107">
        <f t="shared" si="90"/>
        <v>0.9934198440967413</v>
      </c>
    </row>
    <row r="108" spans="1:20" ht="12.75">
      <c r="A108">
        <f t="shared" si="85"/>
        <v>1.1500000000000004</v>
      </c>
      <c r="B108">
        <f t="shared" si="86"/>
        <v>0.02</v>
      </c>
      <c r="C108">
        <v>0.1</v>
      </c>
      <c r="D108">
        <f t="shared" si="65"/>
        <v>0.41207983136956267</v>
      </c>
      <c r="E108">
        <f t="shared" si="67"/>
        <v>0.41541986347098564</v>
      </c>
      <c r="F108">
        <f t="shared" si="81"/>
        <v>0.4143433677024429</v>
      </c>
      <c r="G108">
        <f t="shared" si="82"/>
        <v>1.0286846928902336</v>
      </c>
      <c r="H108">
        <f t="shared" si="83"/>
        <v>0.9668045599653513</v>
      </c>
      <c r="I108">
        <f t="shared" si="91"/>
        <v>0.9804768668986481</v>
      </c>
      <c r="J108">
        <f t="shared" si="92"/>
        <v>0.8000000000000003</v>
      </c>
      <c r="K108">
        <f t="shared" si="90"/>
        <v>0.8460270839784022</v>
      </c>
      <c r="L108">
        <f t="shared" si="90"/>
        <v>0.8790518831212975</v>
      </c>
      <c r="M108">
        <f t="shared" si="90"/>
        <v>0.9047716225545599</v>
      </c>
      <c r="N108">
        <f t="shared" si="90"/>
        <v>0.9248021757655772</v>
      </c>
      <c r="O108">
        <f t="shared" si="90"/>
        <v>0.940401986291671</v>
      </c>
      <c r="P108">
        <f t="shared" si="90"/>
        <v>0.9525511309451582</v>
      </c>
      <c r="Q108">
        <f t="shared" si="90"/>
        <v>0.9620128943149422</v>
      </c>
      <c r="R108">
        <f t="shared" si="90"/>
        <v>0.969381723036566</v>
      </c>
      <c r="S108">
        <f t="shared" si="90"/>
        <v>0.975120572615286</v>
      </c>
      <c r="T108">
        <f t="shared" si="90"/>
        <v>0.9795899931611215</v>
      </c>
    </row>
    <row r="109" spans="1:20" ht="12.75">
      <c r="A109">
        <f t="shared" si="85"/>
        <v>1.2000000000000004</v>
      </c>
      <c r="B109">
        <f t="shared" si="86"/>
        <v>0.02</v>
      </c>
      <c r="C109">
        <v>0.1</v>
      </c>
      <c r="D109">
        <f t="shared" si="65"/>
        <v>-5.5982803542730495E-15</v>
      </c>
      <c r="E109">
        <f t="shared" si="67"/>
        <v>0.11672089159097564</v>
      </c>
      <c r="F109">
        <f t="shared" si="81"/>
        <v>-5.6290314612647E-15</v>
      </c>
      <c r="G109">
        <f t="shared" si="82"/>
        <v>1.0286846928902336</v>
      </c>
      <c r="H109">
        <f t="shared" si="83"/>
        <v>0.9668045599653513</v>
      </c>
      <c r="I109">
        <f t="shared" si="91"/>
        <v>0.9690840619630494</v>
      </c>
      <c r="J109">
        <f t="shared" si="92"/>
        <v>0.8500000000000003</v>
      </c>
      <c r="K109">
        <f t="shared" si="90"/>
        <v>0.8361965394103419</v>
      </c>
      <c r="L109">
        <f t="shared" si="90"/>
        <v>0.86883760171316</v>
      </c>
      <c r="M109">
        <f t="shared" si="90"/>
        <v>0.8942584865948772</v>
      </c>
      <c r="N109">
        <f t="shared" si="90"/>
        <v>0.9140562916471265</v>
      </c>
      <c r="O109">
        <f t="shared" si="90"/>
        <v>0.9294748377249133</v>
      </c>
      <c r="P109">
        <f t="shared" si="90"/>
        <v>0.9414828134841162</v>
      </c>
      <c r="Q109">
        <f t="shared" si="90"/>
        <v>0.950834634408486</v>
      </c>
      <c r="R109">
        <f t="shared" si="90"/>
        <v>0.9581178398675286</v>
      </c>
      <c r="S109">
        <f t="shared" si="90"/>
        <v>0.963790005982301</v>
      </c>
      <c r="T109">
        <f t="shared" si="90"/>
        <v>0.9682074933941968</v>
      </c>
    </row>
    <row r="110" spans="9:20" ht="12.75">
      <c r="I110">
        <f t="shared" si="91"/>
        <v>0.9543027684484255</v>
      </c>
      <c r="J110">
        <f t="shared" si="92"/>
        <v>0.9000000000000004</v>
      </c>
      <c r="K110">
        <f t="shared" si="90"/>
        <v>0.8234421593002207</v>
      </c>
      <c r="L110">
        <f t="shared" si="90"/>
        <v>0.8555853523866679</v>
      </c>
      <c r="M110">
        <f t="shared" si="90"/>
        <v>0.8806184963328083</v>
      </c>
      <c r="N110">
        <f t="shared" si="90"/>
        <v>0.9001143284408015</v>
      </c>
      <c r="O110">
        <f t="shared" si="90"/>
        <v>0.9152976977531354</v>
      </c>
      <c r="P110">
        <f t="shared" si="90"/>
        <v>0.9271225176632433</v>
      </c>
      <c r="Q110">
        <f t="shared" si="90"/>
        <v>0.9363316966689138</v>
      </c>
      <c r="R110">
        <f t="shared" si="90"/>
        <v>0.9435038124899745</v>
      </c>
      <c r="S110">
        <f t="shared" si="90"/>
        <v>0.9490894619076956</v>
      </c>
      <c r="T110">
        <f t="shared" si="90"/>
        <v>0.9534395700481789</v>
      </c>
    </row>
    <row r="111" spans="9:20" ht="12.75">
      <c r="I111">
        <f t="shared" si="91"/>
        <v>0.929397836864742</v>
      </c>
      <c r="J111">
        <f t="shared" si="92"/>
        <v>0.9500000000000004</v>
      </c>
      <c r="K111">
        <f t="shared" si="90"/>
        <v>0.8019523645322187</v>
      </c>
      <c r="L111">
        <f t="shared" si="90"/>
        <v>0.833256700129024</v>
      </c>
      <c r="M111">
        <f t="shared" si="90"/>
        <v>0.8576365412053458</v>
      </c>
      <c r="N111">
        <f t="shared" si="90"/>
        <v>0.8766235805267417</v>
      </c>
      <c r="O111">
        <f t="shared" si="90"/>
        <v>0.8914107016184523</v>
      </c>
      <c r="P111">
        <f t="shared" si="90"/>
        <v>0.9029269231040481</v>
      </c>
      <c r="Q111">
        <f t="shared" si="90"/>
        <v>0.9118957654150541</v>
      </c>
      <c r="R111">
        <f t="shared" si="90"/>
        <v>0.9188807068301094</v>
      </c>
      <c r="S111">
        <f t="shared" si="90"/>
        <v>0.9243205846738624</v>
      </c>
      <c r="T111">
        <f t="shared" si="90"/>
        <v>0.9285571657983899</v>
      </c>
    </row>
    <row r="112" spans="9:20" ht="12.75">
      <c r="I112">
        <f t="shared" si="91"/>
        <v>0.8844215222112355</v>
      </c>
      <c r="J112">
        <f t="shared" si="92"/>
        <v>1.0000000000000004</v>
      </c>
      <c r="K112">
        <f t="shared" si="90"/>
        <v>0.7631435138402478</v>
      </c>
      <c r="L112">
        <f t="shared" si="90"/>
        <v>0.792932939898883</v>
      </c>
      <c r="M112">
        <f t="shared" si="90"/>
        <v>0.8161329682405959</v>
      </c>
      <c r="N112">
        <f t="shared" si="90"/>
        <v>0.8342011684804005</v>
      </c>
      <c r="O112">
        <f t="shared" si="90"/>
        <v>0.8482726969758514</v>
      </c>
      <c r="P112">
        <f t="shared" si="90"/>
        <v>0.85923161438712</v>
      </c>
      <c r="Q112">
        <f t="shared" si="90"/>
        <v>0.867766427848631</v>
      </c>
      <c r="R112">
        <f t="shared" si="90"/>
        <v>0.8744133472558241</v>
      </c>
      <c r="S112">
        <f t="shared" si="90"/>
        <v>0.8795899732951586</v>
      </c>
      <c r="T112">
        <f t="shared" si="90"/>
        <v>0.88362153370826</v>
      </c>
    </row>
    <row r="113" spans="9:20" ht="12.75">
      <c r="I113">
        <f t="shared" si="91"/>
        <v>0.8034100496697911</v>
      </c>
      <c r="J113">
        <f t="shared" si="92"/>
        <v>1.0500000000000005</v>
      </c>
      <c r="K113">
        <f t="shared" si="90"/>
        <v>0.6932408958418984</v>
      </c>
      <c r="L113">
        <f t="shared" si="90"/>
        <v>0.7203016623071525</v>
      </c>
      <c r="M113">
        <f t="shared" si="90"/>
        <v>0.7413766084208048</v>
      </c>
      <c r="N113">
        <f t="shared" si="90"/>
        <v>0.7577897929573046</v>
      </c>
      <c r="O113">
        <f t="shared" si="90"/>
        <v>0.7705723939270263</v>
      </c>
      <c r="P113">
        <f t="shared" si="90"/>
        <v>0.7805274935719347</v>
      </c>
      <c r="Q113">
        <f t="shared" si="90"/>
        <v>0.7882805329709436</v>
      </c>
      <c r="R113">
        <f t="shared" si="90"/>
        <v>0.7943186061260749</v>
      </c>
      <c r="S113">
        <f t="shared" si="90"/>
        <v>0.7990210622275337</v>
      </c>
      <c r="T113">
        <f t="shared" si="90"/>
        <v>0.8026833387217085</v>
      </c>
    </row>
    <row r="114" spans="9:20" ht="12.75">
      <c r="I114">
        <f t="shared" si="91"/>
        <v>0.6605021764907223</v>
      </c>
      <c r="J114">
        <f t="shared" si="92"/>
        <v>1.1000000000000005</v>
      </c>
      <c r="K114">
        <f t="shared" si="90"/>
        <v>0.5699295406177056</v>
      </c>
      <c r="L114">
        <f t="shared" si="90"/>
        <v>0.5921768291040193</v>
      </c>
      <c r="M114">
        <f t="shared" si="90"/>
        <v>0.6095030347983756</v>
      </c>
      <c r="N114">
        <f t="shared" si="90"/>
        <v>0.6229966973607968</v>
      </c>
      <c r="O114">
        <f t="shared" si="90"/>
        <v>0.6335055723309116</v>
      </c>
      <c r="P114">
        <f t="shared" si="90"/>
        <v>0.6416898923868365</v>
      </c>
      <c r="Q114">
        <f t="shared" si="90"/>
        <v>0.6480638472552979</v>
      </c>
      <c r="R114">
        <f t="shared" si="90"/>
        <v>0.6530278882981173</v>
      </c>
      <c r="S114">
        <f t="shared" si="90"/>
        <v>0.6568938873494637</v>
      </c>
      <c r="T114">
        <f t="shared" si="90"/>
        <v>0.6599047304380056</v>
      </c>
    </row>
  </sheetData>
  <sheetProtection sheet="1" objects="1" scenarios="1"/>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Wraiths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bwraith</dc:creator>
  <cp:keywords/>
  <dc:description/>
  <cp:lastModifiedBy>bwraith</cp:lastModifiedBy>
  <dcterms:created xsi:type="dcterms:W3CDTF">2007-05-19T02:58:48Z</dcterms:created>
  <dcterms:modified xsi:type="dcterms:W3CDTF">2007-09-13T00:30:03Z</dcterms:modified>
  <cp:category/>
  <cp:version/>
  <cp:contentType/>
  <cp:contentStatus/>
</cp:coreProperties>
</file>